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Z:\Curriculum Changes\UCPC\UCPC 2019-2020\UCPC Agenda - August 2, 2019\"/>
    </mc:Choice>
  </mc:AlternateContent>
  <xr:revisionPtr revIDLastSave="0" documentId="8_{22C25870-7CA7-4AAE-9DD1-76009B0AA10D}" xr6:coauthVersionLast="43" xr6:coauthVersionMax="43" xr10:uidLastSave="{00000000-0000-0000-0000-000000000000}"/>
  <bookViews>
    <workbookView xWindow="-120" yWindow="-120" windowWidth="29040" windowHeight="17640" xr2:uid="{00000000-000D-0000-FFFF-FFFF00000000}"/>
  </bookViews>
  <sheets>
    <sheet name="225 Students" sheetId="1" r:id="rId1"/>
    <sheet name="Library Resources" sheetId="2"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 l="1"/>
  <c r="B19" i="1"/>
  <c r="R6" i="1"/>
  <c r="Q6" i="1"/>
  <c r="C8" i="1"/>
  <c r="B8" i="1"/>
  <c r="B18" i="1"/>
  <c r="C18" i="1" s="1"/>
  <c r="B29" i="1" l="1"/>
  <c r="D34" i="1" l="1"/>
  <c r="B34" i="1"/>
  <c r="C31" i="1"/>
  <c r="M31" i="1"/>
  <c r="M35" i="1" s="1"/>
  <c r="L31" i="1"/>
  <c r="L35" i="1" s="1"/>
  <c r="K31" i="1"/>
  <c r="K35" i="1" s="1"/>
  <c r="J31" i="1"/>
  <c r="J35" i="1" s="1"/>
  <c r="I31" i="1"/>
  <c r="I35" i="1"/>
  <c r="C27" i="1"/>
  <c r="D27" i="1" s="1"/>
  <c r="E27" i="1" s="1"/>
  <c r="B27" i="1"/>
  <c r="C23" i="1"/>
  <c r="D23" i="1" s="1"/>
  <c r="E23" i="1" s="1"/>
  <c r="F23" i="1" s="1"/>
  <c r="C22" i="1"/>
  <c r="D22" i="1" s="1"/>
  <c r="E34" i="1" l="1"/>
  <c r="F34" i="1" s="1"/>
  <c r="C34" i="1"/>
  <c r="D31" i="1"/>
  <c r="E31" i="1" s="1"/>
  <c r="F31" i="1" s="1"/>
  <c r="F27" i="1"/>
  <c r="E22" i="1"/>
  <c r="F22" i="1" s="1"/>
  <c r="C20" i="1"/>
  <c r="D20" i="1" s="1"/>
  <c r="E20" i="1" s="1"/>
  <c r="F20" i="1" s="1"/>
  <c r="B20" i="1"/>
  <c r="D19" i="1"/>
  <c r="E19" i="1" s="1"/>
  <c r="F19" i="1" s="1"/>
  <c r="D18" i="1"/>
  <c r="E18" i="1" s="1"/>
  <c r="F18" i="1" s="1"/>
  <c r="M43" i="1"/>
  <c r="L43" i="1"/>
  <c r="K43" i="1"/>
  <c r="J43" i="1"/>
  <c r="M42" i="1"/>
  <c r="L42" i="1"/>
  <c r="K42" i="1"/>
  <c r="J42" i="1"/>
  <c r="M41" i="1"/>
  <c r="L41" i="1"/>
  <c r="K41" i="1"/>
  <c r="J41" i="1"/>
  <c r="I43" i="1"/>
  <c r="I42" i="1"/>
  <c r="I41" i="1"/>
  <c r="M40" i="1"/>
  <c r="L40" i="1"/>
  <c r="K40" i="1"/>
  <c r="J40" i="1"/>
  <c r="I40" i="1"/>
  <c r="C24" i="1" l="1"/>
  <c r="B32" i="1"/>
  <c r="Q5" i="1"/>
  <c r="J16" i="1" l="1"/>
  <c r="M44" i="1"/>
  <c r="L44" i="1"/>
  <c r="K44" i="1"/>
  <c r="J44" i="1"/>
  <c r="I44" i="1"/>
  <c r="M27" i="1"/>
  <c r="L27" i="1"/>
  <c r="K27" i="1"/>
  <c r="J27" i="1"/>
  <c r="I27" i="1"/>
  <c r="J5" i="1"/>
  <c r="B35" i="1"/>
  <c r="B28" i="1"/>
  <c r="J6" i="1"/>
  <c r="K6" i="1" s="1"/>
  <c r="L6" i="1" s="1"/>
  <c r="M6" i="1" s="1"/>
  <c r="F28" i="1" s="1"/>
  <c r="F24" i="1"/>
  <c r="E24" i="1"/>
  <c r="D24" i="1"/>
  <c r="B24" i="1"/>
  <c r="B25" i="1" s="1"/>
  <c r="C11" i="1" l="1"/>
  <c r="C10" i="1"/>
  <c r="C12" i="1"/>
  <c r="K16" i="1"/>
  <c r="C29" i="1"/>
  <c r="C49" i="1"/>
  <c r="B44" i="1"/>
  <c r="Q12" i="1" s="1"/>
  <c r="C50" i="1"/>
  <c r="B7" i="1"/>
  <c r="B15" i="1" s="1"/>
  <c r="B50" i="1"/>
  <c r="B51" i="1" s="1"/>
  <c r="D50" i="1"/>
  <c r="C28" i="1"/>
  <c r="C32" i="1"/>
  <c r="C25" i="1"/>
  <c r="K5" i="1"/>
  <c r="C35" i="1"/>
  <c r="D28" i="1"/>
  <c r="E28" i="1"/>
  <c r="C7" i="1"/>
  <c r="B46" i="1" l="1"/>
  <c r="C13" i="1" s="1"/>
  <c r="L16" i="1"/>
  <c r="D29" i="1"/>
  <c r="D49" i="1"/>
  <c r="D51" i="1" s="1"/>
  <c r="D10" i="1"/>
  <c r="D12" i="1"/>
  <c r="D11" i="1"/>
  <c r="D7" i="1"/>
  <c r="C51" i="1"/>
  <c r="C44" i="1"/>
  <c r="R12" i="1" s="1"/>
  <c r="C15" i="1"/>
  <c r="D32" i="1"/>
  <c r="L5" i="1"/>
  <c r="D35" i="1"/>
  <c r="D25" i="1"/>
  <c r="D44" i="1" s="1"/>
  <c r="S12" i="1" s="1"/>
  <c r="E10" i="1" l="1"/>
  <c r="E11" i="1"/>
  <c r="E12" i="1"/>
  <c r="M16" i="1"/>
  <c r="E29" i="1"/>
  <c r="E49" i="1"/>
  <c r="E51" i="1" s="1"/>
  <c r="E50" i="1"/>
  <c r="E7" i="1"/>
  <c r="C46" i="1"/>
  <c r="D13" i="1" s="1"/>
  <c r="D15" i="1" s="1"/>
  <c r="D46" i="1" s="1"/>
  <c r="E13" i="1" s="1"/>
  <c r="E32" i="1"/>
  <c r="M5" i="1"/>
  <c r="E25" i="1"/>
  <c r="E35" i="1"/>
  <c r="F29" i="1" l="1"/>
  <c r="F49" i="1"/>
  <c r="F51" i="1" s="1"/>
  <c r="F50" i="1"/>
  <c r="F7" i="1"/>
  <c r="F11" i="1"/>
  <c r="F12" i="1"/>
  <c r="F10" i="1"/>
  <c r="E44" i="1"/>
  <c r="T12" i="1" s="1"/>
  <c r="E15" i="1"/>
  <c r="F32" i="1"/>
  <c r="F25" i="1"/>
  <c r="F35" i="1"/>
  <c r="E46" i="1" l="1"/>
  <c r="F13" i="1" s="1"/>
  <c r="F15" i="1" s="1"/>
  <c r="F44" i="1"/>
  <c r="U12" i="1" s="1"/>
  <c r="F46" i="1" l="1"/>
</calcChain>
</file>

<file path=xl/sharedStrings.xml><?xml version="1.0" encoding="utf-8"?>
<sst xmlns="http://schemas.openxmlformats.org/spreadsheetml/2006/main" count="113" uniqueCount="65">
  <si>
    <t>FY20</t>
  </si>
  <si>
    <t>FY21</t>
  </si>
  <si>
    <t>FY22</t>
  </si>
  <si>
    <t>FY23</t>
  </si>
  <si>
    <t>FY24</t>
  </si>
  <si>
    <t>Revenue:</t>
  </si>
  <si>
    <t>Provost</t>
  </si>
  <si>
    <t>Differential Tuition</t>
  </si>
  <si>
    <t>Total Revenue</t>
  </si>
  <si>
    <t>Expenses:</t>
  </si>
  <si>
    <t>Benefits</t>
  </si>
  <si>
    <t>Total Salary</t>
  </si>
  <si>
    <t>Data Science Program</t>
  </si>
  <si>
    <t>5 year Budget</t>
  </si>
  <si>
    <t>Benefit Rates</t>
  </si>
  <si>
    <t>SalNC</t>
  </si>
  <si>
    <t>SalGA</t>
  </si>
  <si>
    <t>Teaching Assistants Salary</t>
  </si>
  <si>
    <t>Program Director Salary</t>
  </si>
  <si>
    <t>Walton Faculty Salary</t>
  </si>
  <si>
    <t>Fulbright Faculty Salary</t>
  </si>
  <si>
    <t>Engineering Faculty Salary</t>
  </si>
  <si>
    <t>Instructional Faculty Salary</t>
  </si>
  <si>
    <t>Faculty Buyout Pool</t>
  </si>
  <si>
    <t>Maintenance</t>
  </si>
  <si>
    <t>Total Expenses</t>
  </si>
  <si>
    <t>Administrative Support Salary</t>
  </si>
  <si>
    <t>Differential Tuition Rate</t>
  </si>
  <si>
    <t>Freshmen</t>
  </si>
  <si>
    <t>Junior</t>
  </si>
  <si>
    <t>Senior</t>
  </si>
  <si>
    <t>Total</t>
  </si>
  <si>
    <t>Student SSCH</t>
  </si>
  <si>
    <t>Tuition Rate</t>
  </si>
  <si>
    <t>Sophomore</t>
  </si>
  <si>
    <t>Engineering cost per student</t>
  </si>
  <si>
    <t>Students</t>
  </si>
  <si>
    <t>Walton College Commitment</t>
  </si>
  <si>
    <t>Engineering College Commitment</t>
  </si>
  <si>
    <t>Fulbright College Commitment</t>
  </si>
  <si>
    <t>Net Income</t>
  </si>
  <si>
    <t>Tuition</t>
  </si>
  <si>
    <t>Program Space Renovation</t>
  </si>
  <si>
    <t>Computer Labs (Acquisition)</t>
  </si>
  <si>
    <t>Computer Labs (Maintenance)</t>
  </si>
  <si>
    <t>Secure Data Facilities &amp; Access</t>
  </si>
  <si>
    <t>Data Science cost per student</t>
  </si>
  <si>
    <t>Student Count DSP</t>
  </si>
  <si>
    <t>Student Count non DSP</t>
  </si>
  <si>
    <t>Central New Tuition</t>
  </si>
  <si>
    <t>Central New Differential Tuition</t>
  </si>
  <si>
    <t>Total Central New Revenue</t>
  </si>
  <si>
    <t>TELE Fees</t>
  </si>
  <si>
    <t>Reinvestment</t>
  </si>
  <si>
    <t>Engineering TELE Commitment</t>
  </si>
  <si>
    <t>225 Students</t>
  </si>
  <si>
    <t>Walton cost per student</t>
  </si>
  <si>
    <t>Dr. Schubert,</t>
  </si>
  <si>
    <t>Since no accreditation review board currently provides a list of recommended texts and journals needed to support the program coupled with the program being practice-based rather than research-based, at this point, no new information resources are required.  As the Data Science program continues to evolve and the need for information resources changes and accreditation standards emerge that provide recommended text and journals, the College of Engineering and the University Libraries will monitor changes annually and acquire or provide access to the necessary information resources.  Please let me know if this helps. Thanks.</t>
  </si>
  <si>
    <t>Mullins Library / University of Arkansas</t>
  </si>
  <si>
    <t>Head of Research &amp; Instruction/Associate Professor</t>
  </si>
  <si>
    <t>Joel B. Thornton</t>
  </si>
  <si>
    <t>To:       Karl D. Schubert &lt;schubert@uark.edu&gt;; Norman D. Dennis Jr. &lt;ndennis@uark.edu&gt;; Jay McAllister III &lt;jtmcalli@uark.edu&gt;; Michele Reilly &lt;reilly@uark.edu&gt;</t>
  </si>
  <si>
    <t>Date:    Friday, April 12, 2019 at 10:22 PM</t>
  </si>
  <si>
    <t>Associate Director/Advisor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</si>
</sst>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0.0000"/>
  </numFmts>
  <fonts count="3" x14ac:knownFonts="1">
    <font>
      <sz val="11"/>
      <color theme="1"/>
      <name val="Calibri"/>
      <family val="2"/>
      <scheme val="minor"/>
    </font>
    <font>
      <b/>
      <sz val="11"/>
      <color theme="1"/>
      <name val="Calibri"/>
      <family val="2"/>
      <scheme val="minor"/>
    </font>
    <font>
      <sz val="12"/>
      <color rgb="FF1F497D"/>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1">
    <xf numFmtId="0" fontId="0" fillId="0" borderId="0"/>
  </cellStyleXfs>
  <cellXfs count="13">
    <xf numFmtId="0" fontId="0" fillId="0" borderId="0" xfId="0"/>
    <xf numFmtId="42" fontId="0" fillId="0" borderId="0" xfId="0" applyNumberFormat="1"/>
    <xf numFmtId="0" fontId="1" fillId="0" borderId="0" xfId="0" applyFont="1"/>
    <xf numFmtId="0" fontId="1" fillId="0" borderId="1" xfId="0" applyFont="1" applyBorder="1" applyAlignment="1">
      <alignment horizontal="center"/>
    </xf>
    <xf numFmtId="42" fontId="0" fillId="0" borderId="2" xfId="0" applyNumberFormat="1" applyBorder="1"/>
    <xf numFmtId="164" fontId="0" fillId="0" borderId="0" xfId="0" applyNumberFormat="1"/>
    <xf numFmtId="0" fontId="0" fillId="0" borderId="0" xfId="0" applyFont="1"/>
    <xf numFmtId="0" fontId="0" fillId="0" borderId="0" xfId="0" quotePrefix="1"/>
    <xf numFmtId="3" fontId="0" fillId="0" borderId="0" xfId="0" applyNumberFormat="1"/>
    <xf numFmtId="3" fontId="0" fillId="0" borderId="2" xfId="0" applyNumberFormat="1" applyBorder="1"/>
    <xf numFmtId="44" fontId="0" fillId="0" borderId="0" xfId="0" applyNumberFormat="1"/>
    <xf numFmtId="10" fontId="0" fillId="0" borderId="0" xfId="0" applyNumberFormat="1"/>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2"/>
  <sheetViews>
    <sheetView tabSelected="1" zoomScale="80" zoomScaleNormal="80" workbookViewId="0"/>
  </sheetViews>
  <sheetFormatPr defaultColWidth="8.85546875" defaultRowHeight="15" x14ac:dyDescent="0.25"/>
  <cols>
    <col min="1" max="1" width="32.42578125" bestFit="1" customWidth="1"/>
    <col min="2" max="2" width="12.42578125" bestFit="1" customWidth="1"/>
    <col min="3" max="4" width="12.28515625" bestFit="1" customWidth="1"/>
    <col min="5" max="5" width="12.42578125" customWidth="1"/>
    <col min="6" max="6" width="12.28515625" bestFit="1" customWidth="1"/>
    <col min="8" max="8" width="22.85546875" bestFit="1" customWidth="1"/>
    <col min="9" max="9" width="11.42578125" bestFit="1" customWidth="1"/>
    <col min="10" max="10" width="9.85546875" bestFit="1" customWidth="1"/>
    <col min="11" max="11" width="11.85546875" bestFit="1" customWidth="1"/>
    <col min="12" max="13" width="12.85546875" bestFit="1" customWidth="1"/>
    <col min="16" max="16" width="26.85546875" bestFit="1" customWidth="1"/>
    <col min="17" max="17" width="11.42578125" bestFit="1" customWidth="1"/>
    <col min="18" max="18" width="12.42578125" bestFit="1" customWidth="1"/>
  </cols>
  <sheetData>
    <row r="1" spans="1:21" x14ac:dyDescent="0.25">
      <c r="A1" t="s">
        <v>12</v>
      </c>
    </row>
    <row r="2" spans="1:21" x14ac:dyDescent="0.25">
      <c r="A2" t="s">
        <v>13</v>
      </c>
    </row>
    <row r="3" spans="1:21" x14ac:dyDescent="0.25">
      <c r="A3" t="s">
        <v>55</v>
      </c>
      <c r="I3" t="s">
        <v>14</v>
      </c>
    </row>
    <row r="4" spans="1:21" x14ac:dyDescent="0.25">
      <c r="B4" s="3" t="s">
        <v>0</v>
      </c>
      <c r="C4" s="3" t="s">
        <v>1</v>
      </c>
      <c r="D4" s="3" t="s">
        <v>2</v>
      </c>
      <c r="E4" s="3" t="s">
        <v>3</v>
      </c>
      <c r="F4" s="3" t="s">
        <v>4</v>
      </c>
      <c r="I4" s="3" t="s">
        <v>0</v>
      </c>
      <c r="J4" s="3" t="s">
        <v>1</v>
      </c>
      <c r="K4" s="3" t="s">
        <v>2</v>
      </c>
      <c r="L4" s="3" t="s">
        <v>3</v>
      </c>
      <c r="M4" s="3" t="s">
        <v>4</v>
      </c>
      <c r="R4" t="s">
        <v>36</v>
      </c>
    </row>
    <row r="5" spans="1:21" x14ac:dyDescent="0.25">
      <c r="A5" t="s">
        <v>5</v>
      </c>
      <c r="H5" t="s">
        <v>15</v>
      </c>
      <c r="I5">
        <v>0.2873</v>
      </c>
      <c r="J5">
        <f>+I5*1.01</f>
        <v>0.29017300000000001</v>
      </c>
      <c r="K5">
        <f>+J5*1.01</f>
        <v>0.29307473000000001</v>
      </c>
      <c r="L5">
        <f>+K5*1.01</f>
        <v>0.29600547729999999</v>
      </c>
      <c r="M5">
        <f>+L5*1.01</f>
        <v>0.29896553207299997</v>
      </c>
      <c r="P5" t="s">
        <v>35</v>
      </c>
      <c r="Q5" s="1">
        <f>26912833/R5</f>
        <v>6068.2825253664032</v>
      </c>
      <c r="R5" s="8">
        <v>4435</v>
      </c>
    </row>
    <row r="6" spans="1:21" x14ac:dyDescent="0.25">
      <c r="A6" t="s">
        <v>6</v>
      </c>
      <c r="B6" s="1">
        <v>500000</v>
      </c>
      <c r="C6" s="1">
        <v>500000</v>
      </c>
      <c r="D6" s="1">
        <v>500000</v>
      </c>
      <c r="E6" s="1">
        <v>500000</v>
      </c>
      <c r="F6" s="1">
        <v>500000</v>
      </c>
      <c r="G6" s="1"/>
      <c r="H6" t="s">
        <v>16</v>
      </c>
      <c r="I6" s="5">
        <v>5.8400000000000001E-2</v>
      </c>
      <c r="J6">
        <f>+I6*1.01</f>
        <v>5.8984000000000002E-2</v>
      </c>
      <c r="K6">
        <f t="shared" ref="K6:M6" si="0">+J6*1.01</f>
        <v>5.9573840000000003E-2</v>
      </c>
      <c r="L6">
        <f t="shared" si="0"/>
        <v>6.0169578400000007E-2</v>
      </c>
      <c r="M6">
        <f t="shared" si="0"/>
        <v>6.077127418400001E-2</v>
      </c>
      <c r="P6" t="s">
        <v>56</v>
      </c>
      <c r="Q6" s="1">
        <f>(22425914+8256295)/(6141+327)</f>
        <v>4743.6934137291282</v>
      </c>
      <c r="R6" s="8">
        <f>6141+327</f>
        <v>6468</v>
      </c>
    </row>
    <row r="7" spans="1:21" x14ac:dyDescent="0.25">
      <c r="A7" t="s">
        <v>7</v>
      </c>
      <c r="B7" s="1">
        <f>((((I16*I19)*I44)*0.8))</f>
        <v>138614.78400000001</v>
      </c>
      <c r="C7" s="1">
        <f>((((J16*J19)*J44)*0.8))</f>
        <v>200482.46064000006</v>
      </c>
      <c r="D7" s="1">
        <f>((((K16*K19)*K44)*0.8))</f>
        <v>248299.41032064008</v>
      </c>
      <c r="E7" s="1">
        <f>((((L16*L19)*L44)*0.8))</f>
        <v>308981.27883168007</v>
      </c>
      <c r="F7" s="1">
        <f>((((M16*M19)*M44)*0.8))</f>
        <v>324165.50167712267</v>
      </c>
      <c r="G7" s="1"/>
      <c r="I7" s="5"/>
      <c r="Q7" s="1"/>
      <c r="R7" s="1"/>
      <c r="S7" s="8"/>
    </row>
    <row r="8" spans="1:21" x14ac:dyDescent="0.25">
      <c r="A8" t="s">
        <v>52</v>
      </c>
      <c r="B8" s="1">
        <f>45000</f>
        <v>45000</v>
      </c>
      <c r="C8" s="1">
        <f>90000</f>
        <v>90000</v>
      </c>
      <c r="D8" s="1">
        <v>140000</v>
      </c>
      <c r="E8" s="1">
        <v>185000</v>
      </c>
      <c r="F8" s="1">
        <v>190000</v>
      </c>
      <c r="G8" s="1"/>
      <c r="I8" s="5"/>
      <c r="Q8" s="1"/>
      <c r="R8" s="1"/>
      <c r="S8" s="8"/>
    </row>
    <row r="9" spans="1:21" x14ac:dyDescent="0.25">
      <c r="A9" t="s">
        <v>54</v>
      </c>
      <c r="B9" s="1">
        <v>75000</v>
      </c>
      <c r="C9" s="1">
        <v>75000</v>
      </c>
      <c r="D9" s="1">
        <v>0</v>
      </c>
      <c r="E9" s="1">
        <v>0</v>
      </c>
      <c r="F9" s="1">
        <v>0</v>
      </c>
      <c r="G9" s="1"/>
      <c r="I9" s="5"/>
      <c r="Q9" s="1"/>
      <c r="R9" s="1"/>
      <c r="S9" s="8"/>
    </row>
    <row r="10" spans="1:21" x14ac:dyDescent="0.25">
      <c r="A10" t="s">
        <v>38</v>
      </c>
      <c r="B10" s="1">
        <v>0</v>
      </c>
      <c r="C10" s="1">
        <f>(((95000*2)*(1+J$5)))</f>
        <v>245132.87</v>
      </c>
      <c r="D10" s="1">
        <f t="shared" ref="D10:F10" si="1">(((95000*2)*(1+K$5)))</f>
        <v>245684.19870000001</v>
      </c>
      <c r="E10" s="1">
        <f t="shared" si="1"/>
        <v>246241.040687</v>
      </c>
      <c r="F10" s="1">
        <f t="shared" si="1"/>
        <v>246803.45109387001</v>
      </c>
      <c r="G10" s="1"/>
      <c r="I10" s="5"/>
      <c r="Q10" s="1"/>
      <c r="R10" s="1"/>
      <c r="S10" s="8"/>
    </row>
    <row r="11" spans="1:21" x14ac:dyDescent="0.25">
      <c r="A11" t="s">
        <v>37</v>
      </c>
      <c r="B11" s="1">
        <v>0</v>
      </c>
      <c r="C11" s="1">
        <f>(((150000*2)*(1+J$5)))</f>
        <v>387051.9</v>
      </c>
      <c r="D11" s="1">
        <f t="shared" ref="D11:F11" si="2">(((150000*2)*(1+K$5)))</f>
        <v>387922.41899999999</v>
      </c>
      <c r="E11" s="1">
        <f t="shared" si="2"/>
        <v>388801.64319000003</v>
      </c>
      <c r="F11" s="1">
        <f t="shared" si="2"/>
        <v>389689.65962190001</v>
      </c>
      <c r="G11" s="1"/>
      <c r="I11" s="5"/>
      <c r="Q11" s="3" t="s">
        <v>0</v>
      </c>
      <c r="R11" s="3" t="s">
        <v>1</v>
      </c>
      <c r="S11" s="3" t="s">
        <v>2</v>
      </c>
      <c r="T11" s="3" t="s">
        <v>3</v>
      </c>
      <c r="U11" s="3" t="s">
        <v>4</v>
      </c>
    </row>
    <row r="12" spans="1:21" x14ac:dyDescent="0.25">
      <c r="A12" t="s">
        <v>39</v>
      </c>
      <c r="B12" s="1">
        <v>0</v>
      </c>
      <c r="C12" s="1">
        <f>(((80000*2)*(1+J$5)))</f>
        <v>206427.68</v>
      </c>
      <c r="D12" s="1">
        <f t="shared" ref="D12:F12" si="3">(((80000*2)*(1+K$5)))</f>
        <v>206891.95680000001</v>
      </c>
      <c r="E12" s="1">
        <f t="shared" si="3"/>
        <v>207360.876368</v>
      </c>
      <c r="F12" s="1">
        <f t="shared" si="3"/>
        <v>207834.48513168</v>
      </c>
      <c r="G12" s="1"/>
      <c r="I12" s="5"/>
      <c r="J12" s="5"/>
      <c r="K12" s="5"/>
      <c r="L12" s="5"/>
      <c r="M12" s="5"/>
      <c r="P12" t="s">
        <v>46</v>
      </c>
      <c r="Q12" s="8">
        <f>+B44/(I27+I35)</f>
        <v>2784.9723850909086</v>
      </c>
      <c r="R12" s="8">
        <f>+C44/(J27+J35)</f>
        <v>5079.0188178217586</v>
      </c>
      <c r="S12" s="8">
        <f>+D44/(K27+K35)</f>
        <v>4782.9815611793592</v>
      </c>
      <c r="T12" s="8">
        <f>+E44/(L27+L35)</f>
        <v>4494.2529256198231</v>
      </c>
      <c r="U12" s="8">
        <f>+F44/(M27+M35)</f>
        <v>4637.7492069322952</v>
      </c>
    </row>
    <row r="13" spans="1:21" x14ac:dyDescent="0.25">
      <c r="A13" t="s">
        <v>53</v>
      </c>
      <c r="B13" s="1">
        <v>0</v>
      </c>
      <c r="C13" s="1">
        <f>+B46</f>
        <v>-7252.621899999911</v>
      </c>
      <c r="D13" s="1">
        <f>+C46</f>
        <v>20766.078858820023</v>
      </c>
      <c r="E13" s="1">
        <f>+D46</f>
        <v>-115798.74518048973</v>
      </c>
      <c r="F13" s="1">
        <f>+E46</f>
        <v>-301827.72263273038</v>
      </c>
      <c r="G13" s="1"/>
      <c r="I13" s="5"/>
      <c r="J13" s="5"/>
      <c r="K13" s="5"/>
      <c r="L13" s="5"/>
      <c r="M13" s="5"/>
      <c r="Q13" s="8"/>
      <c r="R13" s="8"/>
      <c r="S13" s="8"/>
      <c r="T13" s="8"/>
      <c r="U13" s="8"/>
    </row>
    <row r="14" spans="1:21" x14ac:dyDescent="0.25">
      <c r="B14" s="1"/>
      <c r="C14" s="1"/>
      <c r="D14" s="1"/>
      <c r="E14" s="1"/>
      <c r="F14" s="1"/>
      <c r="G14" s="1"/>
      <c r="I14" s="5"/>
      <c r="J14" s="5"/>
      <c r="K14" s="5"/>
      <c r="L14" s="5"/>
      <c r="M14" s="5"/>
    </row>
    <row r="15" spans="1:21" ht="15.75" thickBot="1" x14ac:dyDescent="0.3">
      <c r="A15" s="2" t="s">
        <v>8</v>
      </c>
      <c r="B15" s="4">
        <f>SUM(B6:B14)</f>
        <v>758614.78399999999</v>
      </c>
      <c r="C15" s="4">
        <f t="shared" ref="C15:F15" si="4">SUM(C6:C14)</f>
        <v>1696842.2887400002</v>
      </c>
      <c r="D15" s="4">
        <f t="shared" si="4"/>
        <v>1749564.0636794602</v>
      </c>
      <c r="E15" s="4">
        <f t="shared" si="4"/>
        <v>1720586.0938961902</v>
      </c>
      <c r="F15" s="4">
        <f t="shared" si="4"/>
        <v>1556665.3748918422</v>
      </c>
      <c r="G15" s="1"/>
      <c r="I15" s="3" t="s">
        <v>0</v>
      </c>
      <c r="J15" s="3" t="s">
        <v>1</v>
      </c>
      <c r="K15" s="3" t="s">
        <v>2</v>
      </c>
      <c r="L15" s="3" t="s">
        <v>3</v>
      </c>
      <c r="M15" s="3" t="s">
        <v>4</v>
      </c>
    </row>
    <row r="16" spans="1:21" ht="15.75" thickTop="1" x14ac:dyDescent="0.25">
      <c r="B16" s="1"/>
      <c r="C16" s="1"/>
      <c r="D16" s="1"/>
      <c r="E16" s="1"/>
      <c r="F16" s="1"/>
      <c r="G16" s="1"/>
      <c r="H16" t="s">
        <v>33</v>
      </c>
      <c r="I16" s="10">
        <v>246.12</v>
      </c>
      <c r="J16" s="10">
        <f>+I16*1.02</f>
        <v>251.04240000000001</v>
      </c>
      <c r="K16" s="10">
        <f t="shared" ref="K16:M16" si="5">+J16*1.02</f>
        <v>256.06324800000004</v>
      </c>
      <c r="L16" s="10">
        <f t="shared" si="5"/>
        <v>261.18451296000006</v>
      </c>
      <c r="M16" s="10">
        <f t="shared" si="5"/>
        <v>266.40820321920006</v>
      </c>
    </row>
    <row r="17" spans="1:13" x14ac:dyDescent="0.25">
      <c r="A17" t="s">
        <v>9</v>
      </c>
      <c r="B17" s="1"/>
      <c r="C17" s="1"/>
      <c r="D17" s="1"/>
      <c r="E17" s="1"/>
      <c r="F17" s="1"/>
      <c r="G17" s="1"/>
    </row>
    <row r="18" spans="1:13" x14ac:dyDescent="0.25">
      <c r="A18" t="s">
        <v>18</v>
      </c>
      <c r="B18" s="1">
        <f>(141000+31333+10000)*12/12</f>
        <v>182333</v>
      </c>
      <c r="C18" s="1">
        <f>+B18*1.02</f>
        <v>185979.66</v>
      </c>
      <c r="D18" s="1">
        <f t="shared" ref="D18:F20" si="6">TRUNC(ROUND(C18*1.02,0),0)</f>
        <v>189699</v>
      </c>
      <c r="E18" s="1">
        <f t="shared" si="6"/>
        <v>193493</v>
      </c>
      <c r="F18" s="1">
        <f t="shared" si="6"/>
        <v>197363</v>
      </c>
      <c r="G18" s="1"/>
      <c r="I18" s="3" t="s">
        <v>0</v>
      </c>
      <c r="J18" s="3" t="s">
        <v>1</v>
      </c>
      <c r="K18" s="3" t="s">
        <v>2</v>
      </c>
      <c r="L18" s="3" t="s">
        <v>3</v>
      </c>
      <c r="M18" s="3" t="s">
        <v>4</v>
      </c>
    </row>
    <row r="19" spans="1:13" x14ac:dyDescent="0.25">
      <c r="A19" t="s">
        <v>64</v>
      </c>
      <c r="B19" s="1">
        <f>130000*6/12</f>
        <v>65000</v>
      </c>
      <c r="C19" s="1">
        <f>TRUNC(ROUND(130000*1.02,0),0)</f>
        <v>132600</v>
      </c>
      <c r="D19" s="1">
        <f t="shared" si="6"/>
        <v>135252</v>
      </c>
      <c r="E19" s="1">
        <f t="shared" si="6"/>
        <v>137957</v>
      </c>
      <c r="F19" s="1">
        <f t="shared" si="6"/>
        <v>140716</v>
      </c>
      <c r="G19" s="1"/>
      <c r="H19" t="s">
        <v>27</v>
      </c>
      <c r="I19" s="11">
        <v>0.32</v>
      </c>
      <c r="J19" s="11">
        <v>0.33</v>
      </c>
      <c r="K19" s="11">
        <v>0.34</v>
      </c>
      <c r="L19" s="11">
        <v>0.35</v>
      </c>
      <c r="M19" s="11">
        <v>0.36</v>
      </c>
    </row>
    <row r="20" spans="1:13" x14ac:dyDescent="0.25">
      <c r="A20" t="s">
        <v>26</v>
      </c>
      <c r="B20" s="1">
        <f>35000*11/12</f>
        <v>32083.333333333332</v>
      </c>
      <c r="C20" s="1">
        <f>TRUNC(ROUND(35000*1.02,0),0)</f>
        <v>35700</v>
      </c>
      <c r="D20" s="1">
        <f t="shared" si="6"/>
        <v>36414</v>
      </c>
      <c r="E20" s="1">
        <f t="shared" si="6"/>
        <v>37142</v>
      </c>
      <c r="F20" s="1">
        <f t="shared" si="6"/>
        <v>37885</v>
      </c>
      <c r="G20" s="1"/>
    </row>
    <row r="21" spans="1:13" x14ac:dyDescent="0.25">
      <c r="A21" t="s">
        <v>19</v>
      </c>
      <c r="B21" s="1">
        <v>0</v>
      </c>
      <c r="C21" s="1">
        <v>0</v>
      </c>
      <c r="D21" s="1">
        <v>0</v>
      </c>
      <c r="E21" s="1">
        <v>0</v>
      </c>
      <c r="F21" s="1">
        <v>0</v>
      </c>
      <c r="G21" s="1"/>
    </row>
    <row r="22" spans="1:13" x14ac:dyDescent="0.25">
      <c r="A22" t="s">
        <v>20</v>
      </c>
      <c r="B22" s="1">
        <v>0</v>
      </c>
      <c r="C22" s="1">
        <f>(80000+(0.5*80000))</f>
        <v>120000</v>
      </c>
      <c r="D22" s="1">
        <f>TRUNC(ROUND((C22*1.02)+(0.5*80000)+(0.5*80000),0),0)</f>
        <v>202400</v>
      </c>
      <c r="E22" s="1">
        <f>TRUNC(ROUND(D22*1.02,0),0)</f>
        <v>206448</v>
      </c>
      <c r="F22" s="1">
        <f>E22*1.02</f>
        <v>210576.96</v>
      </c>
      <c r="G22" s="1"/>
      <c r="H22" t="s">
        <v>47</v>
      </c>
      <c r="I22" s="3" t="s">
        <v>0</v>
      </c>
      <c r="J22" s="3" t="s">
        <v>1</v>
      </c>
      <c r="K22" s="3" t="s">
        <v>2</v>
      </c>
      <c r="L22" s="3" t="s">
        <v>3</v>
      </c>
      <c r="M22" s="3" t="s">
        <v>4</v>
      </c>
    </row>
    <row r="23" spans="1:13" x14ac:dyDescent="0.25">
      <c r="A23" t="s">
        <v>21</v>
      </c>
      <c r="B23" s="1">
        <v>0</v>
      </c>
      <c r="C23" s="1">
        <f>95000</f>
        <v>95000</v>
      </c>
      <c r="D23" s="1">
        <f>((C23*1.02)+95000)</f>
        <v>191900</v>
      </c>
      <c r="E23" s="1">
        <f>((D23*1.02)+95000)</f>
        <v>290738</v>
      </c>
      <c r="F23" s="1">
        <f>E23*1.02</f>
        <v>296552.76</v>
      </c>
      <c r="G23" s="1"/>
      <c r="H23" t="s">
        <v>28</v>
      </c>
      <c r="I23" s="8">
        <v>50</v>
      </c>
      <c r="J23" s="8">
        <v>50</v>
      </c>
      <c r="K23" s="8">
        <v>50</v>
      </c>
      <c r="L23" s="8">
        <v>50</v>
      </c>
      <c r="M23" s="8">
        <v>50</v>
      </c>
    </row>
    <row r="24" spans="1:13" x14ac:dyDescent="0.25">
      <c r="A24" s="2" t="s">
        <v>11</v>
      </c>
      <c r="B24" s="1">
        <f>SUM(B18:B23)</f>
        <v>279416.33333333331</v>
      </c>
      <c r="C24" s="1">
        <f t="shared" ref="C24:F24" si="7">SUM(C18:C23)</f>
        <v>569279.66</v>
      </c>
      <c r="D24" s="1">
        <f t="shared" si="7"/>
        <v>755665</v>
      </c>
      <c r="E24" s="1">
        <f t="shared" si="7"/>
        <v>865778</v>
      </c>
      <c r="F24" s="1">
        <f t="shared" si="7"/>
        <v>883093.72</v>
      </c>
      <c r="G24" s="1"/>
      <c r="H24" t="s">
        <v>34</v>
      </c>
      <c r="I24" s="8">
        <v>0</v>
      </c>
      <c r="J24" s="8">
        <v>55</v>
      </c>
      <c r="K24" s="8">
        <v>55</v>
      </c>
      <c r="L24" s="8">
        <v>55</v>
      </c>
      <c r="M24" s="8">
        <v>55</v>
      </c>
    </row>
    <row r="25" spans="1:13" x14ac:dyDescent="0.25">
      <c r="A25" s="2" t="s">
        <v>10</v>
      </c>
      <c r="B25" s="1">
        <f>+B24*I5</f>
        <v>80276.31256666666</v>
      </c>
      <c r="C25" s="1">
        <f>+C24*J5</f>
        <v>165189.58678118003</v>
      </c>
      <c r="D25" s="1">
        <f>+D24*K5</f>
        <v>221466.31584545001</v>
      </c>
      <c r="E25" s="1">
        <f>+E24*L5</f>
        <v>256275.03012583937</v>
      </c>
      <c r="F25" s="1">
        <f>+F24*M5</f>
        <v>264014.58387012483</v>
      </c>
      <c r="G25" s="1"/>
      <c r="H25" t="s">
        <v>29</v>
      </c>
      <c r="I25" s="8">
        <v>0</v>
      </c>
      <c r="J25" s="8">
        <v>0</v>
      </c>
      <c r="K25" s="8">
        <v>60</v>
      </c>
      <c r="L25" s="8">
        <v>60</v>
      </c>
      <c r="M25" s="8">
        <v>60</v>
      </c>
    </row>
    <row r="26" spans="1:13" x14ac:dyDescent="0.25">
      <c r="B26" s="1"/>
      <c r="C26" s="1"/>
      <c r="D26" s="1"/>
      <c r="E26" s="1"/>
      <c r="F26" s="1"/>
      <c r="G26" s="1"/>
      <c r="H26" t="s">
        <v>30</v>
      </c>
      <c r="I26" s="8">
        <v>0</v>
      </c>
      <c r="J26" s="8">
        <v>0</v>
      </c>
      <c r="K26" s="8">
        <v>0</v>
      </c>
      <c r="L26" s="8">
        <v>60</v>
      </c>
      <c r="M26" s="8">
        <v>60</v>
      </c>
    </row>
    <row r="27" spans="1:13" ht="15.75" thickBot="1" x14ac:dyDescent="0.3">
      <c r="A27" t="s">
        <v>17</v>
      </c>
      <c r="B27" s="1">
        <f>20000*5</f>
        <v>100000</v>
      </c>
      <c r="C27" s="1">
        <f>((B27*1.02)+(20000*5))</f>
        <v>202000</v>
      </c>
      <c r="D27" s="1">
        <f>((C27*1.02)+(20000*4))</f>
        <v>286040</v>
      </c>
      <c r="E27" s="1">
        <f>((D27*1.02)+20000*0)</f>
        <v>291760.8</v>
      </c>
      <c r="F27" s="1">
        <f>(E27+0)*1.02</f>
        <v>297596.016</v>
      </c>
      <c r="G27" s="1"/>
      <c r="H27" t="s">
        <v>31</v>
      </c>
      <c r="I27" s="9">
        <f>SUM(I23:I26)</f>
        <v>50</v>
      </c>
      <c r="J27" s="9">
        <f t="shared" ref="J27:M27" si="8">SUM(J23:J26)</f>
        <v>105</v>
      </c>
      <c r="K27" s="9">
        <f t="shared" si="8"/>
        <v>165</v>
      </c>
      <c r="L27" s="9">
        <f t="shared" si="8"/>
        <v>225</v>
      </c>
      <c r="M27" s="9">
        <f t="shared" si="8"/>
        <v>225</v>
      </c>
    </row>
    <row r="28" spans="1:13" ht="15.75" thickTop="1" x14ac:dyDescent="0.25">
      <c r="A28" s="6" t="s">
        <v>10</v>
      </c>
      <c r="B28" s="1">
        <f>+B27*I6</f>
        <v>5840</v>
      </c>
      <c r="C28" s="1">
        <f>+C27*J6</f>
        <v>11914.768</v>
      </c>
      <c r="D28" s="1">
        <f>+D27*K6</f>
        <v>17040.501193600001</v>
      </c>
      <c r="E28" s="1">
        <f>+E27*L6</f>
        <v>17555.124329646722</v>
      </c>
      <c r="F28" s="1">
        <f>+F27*M6</f>
        <v>18085.289084402055</v>
      </c>
      <c r="G28" s="1"/>
    </row>
    <row r="29" spans="1:13" x14ac:dyDescent="0.25">
      <c r="A29" s="6" t="s">
        <v>41</v>
      </c>
      <c r="B29" s="1">
        <f>(30*(I16*(1+I19))*5)</f>
        <v>48731.76</v>
      </c>
      <c r="C29" s="1">
        <f>(30*(J16*(1+J19))*10)</f>
        <v>100165.91760000002</v>
      </c>
      <c r="D29" s="1">
        <f>(30*(K16*(1+K19))*14)</f>
        <v>144112.39597440005</v>
      </c>
      <c r="E29" s="1">
        <f>(30*(L16*(1+L19))*14)</f>
        <v>148091.61884832004</v>
      </c>
      <c r="F29" s="1">
        <f>(30*(M16*(1+M19))*14)</f>
        <v>152172.36567880705</v>
      </c>
      <c r="G29" s="1"/>
    </row>
    <row r="30" spans="1:13" x14ac:dyDescent="0.25">
      <c r="B30" s="1"/>
      <c r="C30" s="1"/>
      <c r="D30" s="1"/>
      <c r="E30" s="1"/>
      <c r="F30" s="1"/>
      <c r="G30" s="1"/>
      <c r="H30" t="s">
        <v>48</v>
      </c>
      <c r="I30" s="3" t="s">
        <v>0</v>
      </c>
      <c r="J30" s="3" t="s">
        <v>1</v>
      </c>
      <c r="K30" s="3" t="s">
        <v>2</v>
      </c>
      <c r="L30" s="3" t="s">
        <v>3</v>
      </c>
      <c r="M30" s="3" t="s">
        <v>4</v>
      </c>
    </row>
    <row r="31" spans="1:13" x14ac:dyDescent="0.25">
      <c r="A31" t="s">
        <v>22</v>
      </c>
      <c r="B31" s="1">
        <v>0</v>
      </c>
      <c r="C31" s="1">
        <f>TRUNC(ROUND(((0.5*85000)+(0.5*85000)+(0.5*85000)+(1*100000)),0),0)</f>
        <v>227500</v>
      </c>
      <c r="D31" s="1">
        <f>TRUNC(ROUND(C31*1.02,0),0)</f>
        <v>232050</v>
      </c>
      <c r="E31" s="1">
        <f>TRUNC(ROUND(D31*1.02,0),0)</f>
        <v>236691</v>
      </c>
      <c r="F31" s="1">
        <f>TRUNC(ROUND(E31*1.02,0),0)</f>
        <v>241425</v>
      </c>
      <c r="G31" s="1"/>
      <c r="H31" t="s">
        <v>28</v>
      </c>
      <c r="I31" s="8">
        <f>150+50+25</f>
        <v>225</v>
      </c>
      <c r="J31" s="8">
        <f>150+50+25</f>
        <v>225</v>
      </c>
      <c r="K31" s="8">
        <f>150+50+25</f>
        <v>225</v>
      </c>
      <c r="L31" s="8">
        <f>150+50+25</f>
        <v>225</v>
      </c>
      <c r="M31" s="8">
        <f>150+50+25</f>
        <v>225</v>
      </c>
    </row>
    <row r="32" spans="1:13" x14ac:dyDescent="0.25">
      <c r="A32" t="s">
        <v>10</v>
      </c>
      <c r="B32" s="1">
        <f>+B31*I5</f>
        <v>0</v>
      </c>
      <c r="C32" s="1">
        <f>+C31*J5</f>
        <v>66014.357499999998</v>
      </c>
      <c r="D32" s="1">
        <f>+D31*K5</f>
        <v>68007.991096500002</v>
      </c>
      <c r="E32" s="1">
        <f>+E31*L5</f>
        <v>70061.832427614296</v>
      </c>
      <c r="F32" s="1">
        <f>+F31*M5</f>
        <v>72177.75358072402</v>
      </c>
      <c r="G32" s="1"/>
      <c r="H32" t="s">
        <v>34</v>
      </c>
      <c r="I32" s="8">
        <v>0</v>
      </c>
      <c r="J32" s="8">
        <v>0</v>
      </c>
      <c r="K32" s="8">
        <v>0</v>
      </c>
      <c r="L32" s="8">
        <v>0</v>
      </c>
      <c r="M32" s="8">
        <v>0</v>
      </c>
    </row>
    <row r="33" spans="1:13" x14ac:dyDescent="0.25">
      <c r="B33" s="1"/>
      <c r="C33" s="1"/>
      <c r="D33" s="1"/>
      <c r="E33" s="1"/>
      <c r="F33" s="1"/>
      <c r="G33" s="1"/>
      <c r="H33" t="s">
        <v>29</v>
      </c>
      <c r="I33" s="8">
        <v>0</v>
      </c>
      <c r="J33" s="8">
        <v>0</v>
      </c>
      <c r="K33" s="8">
        <v>0</v>
      </c>
      <c r="L33" s="8">
        <v>0</v>
      </c>
      <c r="M33" s="8">
        <v>0</v>
      </c>
    </row>
    <row r="34" spans="1:13" x14ac:dyDescent="0.25">
      <c r="A34" t="s">
        <v>23</v>
      </c>
      <c r="B34" s="1">
        <f>40000+(10*7000)</f>
        <v>110000</v>
      </c>
      <c r="C34" s="1">
        <f>40000</f>
        <v>40000</v>
      </c>
      <c r="D34" s="1">
        <f>(0.1*150000)+(0.4*150000)</f>
        <v>75000</v>
      </c>
      <c r="E34" s="1">
        <f>D34</f>
        <v>75000</v>
      </c>
      <c r="F34" s="1">
        <f>E34</f>
        <v>75000</v>
      </c>
      <c r="G34" s="1"/>
      <c r="H34" t="s">
        <v>30</v>
      </c>
      <c r="I34" s="8">
        <v>0</v>
      </c>
      <c r="J34" s="8">
        <v>0</v>
      </c>
      <c r="K34" s="8">
        <v>0</v>
      </c>
      <c r="L34" s="8">
        <v>0</v>
      </c>
      <c r="M34" s="8">
        <v>0</v>
      </c>
    </row>
    <row r="35" spans="1:13" ht="15.75" thickBot="1" x14ac:dyDescent="0.3">
      <c r="A35" t="s">
        <v>10</v>
      </c>
      <c r="B35" s="1">
        <f>+B34*I5</f>
        <v>31603</v>
      </c>
      <c r="C35" s="1">
        <f>+C34*J5</f>
        <v>11606.92</v>
      </c>
      <c r="D35" s="1">
        <f>+D34*K5</f>
        <v>21980.604749999999</v>
      </c>
      <c r="E35" s="1">
        <f>+E34*L5</f>
        <v>22200.410797500001</v>
      </c>
      <c r="F35" s="1">
        <f>+F34*M5</f>
        <v>22422.414905474998</v>
      </c>
      <c r="G35" s="1"/>
      <c r="H35" t="s">
        <v>31</v>
      </c>
      <c r="I35" s="9">
        <f>SUM(I31:I34)</f>
        <v>225</v>
      </c>
      <c r="J35" s="9">
        <f t="shared" ref="J35:M35" si="9">SUM(J31:J34)</f>
        <v>225</v>
      </c>
      <c r="K35" s="9">
        <f t="shared" si="9"/>
        <v>225</v>
      </c>
      <c r="L35" s="9">
        <f t="shared" si="9"/>
        <v>225</v>
      </c>
      <c r="M35" s="9">
        <f t="shared" si="9"/>
        <v>225</v>
      </c>
    </row>
    <row r="36" spans="1:13" ht="15.75" thickTop="1" x14ac:dyDescent="0.25"/>
    <row r="37" spans="1:13" x14ac:dyDescent="0.25">
      <c r="A37" t="s">
        <v>24</v>
      </c>
      <c r="B37" s="1">
        <v>20000</v>
      </c>
      <c r="C37" s="1">
        <v>20000</v>
      </c>
      <c r="D37" s="1">
        <v>20000</v>
      </c>
      <c r="E37" s="1">
        <v>20000</v>
      </c>
      <c r="F37" s="1">
        <v>20000</v>
      </c>
    </row>
    <row r="39" spans="1:13" x14ac:dyDescent="0.25">
      <c r="A39" s="7" t="s">
        <v>42</v>
      </c>
      <c r="B39" s="1">
        <v>0</v>
      </c>
      <c r="C39" s="1">
        <v>173405</v>
      </c>
      <c r="D39" s="1">
        <v>10000</v>
      </c>
      <c r="E39" s="1">
        <v>5000</v>
      </c>
      <c r="F39" s="1">
        <v>2000</v>
      </c>
      <c r="H39" t="s">
        <v>32</v>
      </c>
      <c r="I39" s="3" t="s">
        <v>0</v>
      </c>
      <c r="J39" s="3" t="s">
        <v>1</v>
      </c>
      <c r="K39" s="3" t="s">
        <v>2</v>
      </c>
      <c r="L39" s="3" t="s">
        <v>3</v>
      </c>
      <c r="M39" s="3" t="s">
        <v>4</v>
      </c>
    </row>
    <row r="40" spans="1:13" x14ac:dyDescent="0.25">
      <c r="A40" t="s">
        <v>43</v>
      </c>
      <c r="B40" s="1">
        <v>75000</v>
      </c>
      <c r="C40" s="1">
        <v>75000</v>
      </c>
      <c r="D40" s="1">
        <v>0</v>
      </c>
      <c r="E40" s="1">
        <v>0</v>
      </c>
      <c r="F40" s="1">
        <v>25000</v>
      </c>
      <c r="H40" t="s">
        <v>28</v>
      </c>
      <c r="I40" s="8">
        <f>(I23*(4+4+2))+(150*(4+4))+(50*2)+((25*2)*(4+4))</f>
        <v>2200</v>
      </c>
      <c r="J40" s="8">
        <f>(J23*(4+4+2))+(150*(4+4))+(50*2)+((25*2)*(4+4))</f>
        <v>2200</v>
      </c>
      <c r="K40" s="8">
        <f>(K23*(4+4+2))+(150*(4+4))+(50*2)+((25*2)*(4+4))</f>
        <v>2200</v>
      </c>
      <c r="L40" s="8">
        <f>(L23*(4+4+2))+(150*(4+4))+(50*2)+((25*2)*(4+4))</f>
        <v>2200</v>
      </c>
      <c r="M40" s="8">
        <f>(M23*(4+4+2))+(150*(4+4))+(50*2)+((25*2)*(4+4))</f>
        <v>2200</v>
      </c>
    </row>
    <row r="41" spans="1:13" x14ac:dyDescent="0.25">
      <c r="A41" t="s">
        <v>44</v>
      </c>
      <c r="B41" s="1">
        <v>0</v>
      </c>
      <c r="C41" s="1">
        <v>9000</v>
      </c>
      <c r="D41" s="1">
        <v>9000</v>
      </c>
      <c r="E41" s="1">
        <v>9000</v>
      </c>
      <c r="F41" s="1">
        <v>9000</v>
      </c>
      <c r="H41" t="s">
        <v>34</v>
      </c>
      <c r="I41" s="8">
        <f>I24*(3+3+3+3+3)</f>
        <v>0</v>
      </c>
      <c r="J41" s="8">
        <f>J24*(3+3+3+3+3)</f>
        <v>825</v>
      </c>
      <c r="K41" s="8">
        <f>K24*(3+3+3+3+3)</f>
        <v>825</v>
      </c>
      <c r="L41" s="8">
        <f>L24*(3+3+3+3+3)</f>
        <v>825</v>
      </c>
      <c r="M41" s="8">
        <f>M24*(3+3+3+3+3)</f>
        <v>825</v>
      </c>
    </row>
    <row r="42" spans="1:13" x14ac:dyDescent="0.25">
      <c r="A42" t="s">
        <v>45</v>
      </c>
      <c r="B42" s="1">
        <v>15000</v>
      </c>
      <c r="C42" s="1">
        <v>5000</v>
      </c>
      <c r="D42" s="1">
        <v>5000</v>
      </c>
      <c r="E42" s="1">
        <v>5000</v>
      </c>
      <c r="F42" s="1">
        <v>5000</v>
      </c>
      <c r="H42" t="s">
        <v>29</v>
      </c>
      <c r="I42" s="8">
        <f>I25*(3+3+3)</f>
        <v>0</v>
      </c>
      <c r="J42" s="8">
        <f>J25*(3+3+3)</f>
        <v>0</v>
      </c>
      <c r="K42" s="8">
        <f>K25*(3+3+3)</f>
        <v>540</v>
      </c>
      <c r="L42" s="8">
        <f>L25*(3+3+3)</f>
        <v>540</v>
      </c>
      <c r="M42" s="8">
        <f>M25*(3+3+3)</f>
        <v>540</v>
      </c>
    </row>
    <row r="43" spans="1:13" x14ac:dyDescent="0.25">
      <c r="B43" s="1"/>
      <c r="C43" s="1"/>
      <c r="D43" s="1"/>
      <c r="E43" s="1"/>
      <c r="F43" s="1"/>
      <c r="H43" t="s">
        <v>30</v>
      </c>
      <c r="I43" s="8">
        <f>I26*(2+3+3+3)</f>
        <v>0</v>
      </c>
      <c r="J43" s="8">
        <f>J26*(2+3+3+3)</f>
        <v>0</v>
      </c>
      <c r="K43" s="8">
        <f>K26*(2+3+3+3)</f>
        <v>0</v>
      </c>
      <c r="L43" s="8">
        <f>L26*(2+3+3+3)</f>
        <v>660</v>
      </c>
      <c r="M43" s="8">
        <f>M26*(2+3+3+3)</f>
        <v>660</v>
      </c>
    </row>
    <row r="44" spans="1:13" ht="15.75" thickBot="1" x14ac:dyDescent="0.3">
      <c r="A44" s="2" t="s">
        <v>25</v>
      </c>
      <c r="B44" s="4">
        <f>+B39+B37+B35+B34+B32+B31+B28+B27+B25+B24+B29+B40+B41+B42</f>
        <v>765867.4058999999</v>
      </c>
      <c r="C44" s="4">
        <f t="shared" ref="C44:F44" si="10">+C39+C37+C35+C34+C32+C31+C28+C27+C25+C24+C29+C40+C41+C42</f>
        <v>1676076.2098811802</v>
      </c>
      <c r="D44" s="4">
        <f t="shared" si="10"/>
        <v>1865362.8088599499</v>
      </c>
      <c r="E44" s="4">
        <f t="shared" si="10"/>
        <v>2022413.8165289205</v>
      </c>
      <c r="F44" s="4">
        <f t="shared" si="10"/>
        <v>2086987.1431195328</v>
      </c>
      <c r="H44" t="s">
        <v>31</v>
      </c>
      <c r="I44" s="9">
        <f>SUM(I40:I43)</f>
        <v>2200</v>
      </c>
      <c r="J44" s="9">
        <f t="shared" ref="J44" si="11">SUM(J40:J43)</f>
        <v>3025</v>
      </c>
      <c r="K44" s="9">
        <f t="shared" ref="K44" si="12">SUM(K40:K43)</f>
        <v>3565</v>
      </c>
      <c r="L44" s="9">
        <f t="shared" ref="L44" si="13">SUM(L40:L43)</f>
        <v>4225</v>
      </c>
      <c r="M44" s="9">
        <f t="shared" ref="M44" si="14">SUM(M40:M43)</f>
        <v>4225</v>
      </c>
    </row>
    <row r="45" spans="1:13" ht="15.75" thickTop="1" x14ac:dyDescent="0.25"/>
    <row r="46" spans="1:13" ht="15.75" thickBot="1" x14ac:dyDescent="0.3">
      <c r="A46" s="2" t="s">
        <v>40</v>
      </c>
      <c r="B46" s="4">
        <f>+B15-B44</f>
        <v>-7252.621899999911</v>
      </c>
      <c r="C46" s="4">
        <f>+C15-C44</f>
        <v>20766.078858820023</v>
      </c>
      <c r="D46" s="4">
        <f>+D15-D44</f>
        <v>-115798.74518048973</v>
      </c>
      <c r="E46" s="4">
        <f>+E15-E44</f>
        <v>-301827.72263273038</v>
      </c>
      <c r="F46" s="4">
        <f>+F15-F44</f>
        <v>-530321.7682276906</v>
      </c>
    </row>
    <row r="47" spans="1:13" ht="15.75" thickTop="1" x14ac:dyDescent="0.25"/>
    <row r="49" spans="1:6" x14ac:dyDescent="0.25">
      <c r="A49" s="7" t="s">
        <v>49</v>
      </c>
      <c r="B49" s="1">
        <v>0</v>
      </c>
      <c r="C49" s="1">
        <f>+J40*J16</f>
        <v>552293.28</v>
      </c>
      <c r="D49" s="1">
        <f>(K40+K41)*K16</f>
        <v>774591.32520000008</v>
      </c>
      <c r="E49" s="1">
        <f>(L40+L41+L42)*L16</f>
        <v>931122.78870240017</v>
      </c>
      <c r="F49" s="1">
        <f>(+M40+M41+M42+M43)*M16</f>
        <v>1125574.6586011203</v>
      </c>
    </row>
    <row r="50" spans="1:6" x14ac:dyDescent="0.25">
      <c r="A50" t="s">
        <v>50</v>
      </c>
      <c r="B50" s="1">
        <f>((+I44*(I16*I19))*0.2)</f>
        <v>34653.696000000004</v>
      </c>
      <c r="C50" s="1">
        <f>((+J44*(J16*J19))*0.2)</f>
        <v>50120.615160000016</v>
      </c>
      <c r="D50" s="1">
        <f>((+K44*(K16*K19))*0.2)</f>
        <v>62074.852580160019</v>
      </c>
      <c r="E50" s="1">
        <f>((+L44*(L16*L19))*0.2)</f>
        <v>77245.319707920018</v>
      </c>
      <c r="F50" s="1">
        <f>((+M44*(M16*M19))*0.2)</f>
        <v>81041.375419280666</v>
      </c>
    </row>
    <row r="51" spans="1:6" ht="15.75" thickBot="1" x14ac:dyDescent="0.3">
      <c r="A51" t="s">
        <v>51</v>
      </c>
      <c r="B51" s="4">
        <f>SUM(B49:B50)</f>
        <v>34653.696000000004</v>
      </c>
      <c r="C51" s="4">
        <f>SUM(C49:C50)</f>
        <v>602413.89516000007</v>
      </c>
      <c r="D51" s="4">
        <f>SUM(D49:D50)</f>
        <v>836666.1777801601</v>
      </c>
      <c r="E51" s="4">
        <f>SUM(E49:E50)</f>
        <v>1008368.1084103202</v>
      </c>
      <c r="F51" s="4">
        <f>SUM(F49:F50)</f>
        <v>1206616.0340204011</v>
      </c>
    </row>
    <row r="52" spans="1:6" ht="15.75" thickTop="1" x14ac:dyDescent="0.25"/>
  </sheetData>
  <pageMargins left="0.7" right="0.7" top="0.75" bottom="0.75" header="0.3" footer="0.3"/>
  <pageSetup paperSize="5"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1"/>
  <sheetViews>
    <sheetView workbookViewId="0">
      <selection activeCell="A7" sqref="A7"/>
    </sheetView>
  </sheetViews>
  <sheetFormatPr defaultColWidth="11.42578125" defaultRowHeight="15" x14ac:dyDescent="0.25"/>
  <cols>
    <col min="1" max="1" width="140" customWidth="1"/>
  </cols>
  <sheetData>
    <row r="2" spans="1:1" ht="31.5" x14ac:dyDescent="0.25">
      <c r="A2" s="12" t="s">
        <v>62</v>
      </c>
    </row>
    <row r="3" spans="1:1" ht="15.75" x14ac:dyDescent="0.25">
      <c r="A3" s="12" t="s">
        <v>63</v>
      </c>
    </row>
    <row r="5" spans="1:1" ht="15.75" x14ac:dyDescent="0.25">
      <c r="A5" s="12" t="s">
        <v>57</v>
      </c>
    </row>
    <row r="6" spans="1:1" ht="15.75" x14ac:dyDescent="0.25">
      <c r="A6" s="12"/>
    </row>
    <row r="7" spans="1:1" ht="78.75" x14ac:dyDescent="0.25">
      <c r="A7" s="12" t="s">
        <v>58</v>
      </c>
    </row>
    <row r="8" spans="1:1" ht="15.75" x14ac:dyDescent="0.25">
      <c r="A8" s="12"/>
    </row>
    <row r="9" spans="1:1" ht="15.75" x14ac:dyDescent="0.25">
      <c r="A9" s="12" t="s">
        <v>61</v>
      </c>
    </row>
    <row r="10" spans="1:1" ht="15.75" x14ac:dyDescent="0.25">
      <c r="A10" s="12" t="s">
        <v>60</v>
      </c>
    </row>
    <row r="11" spans="1:1" ht="15.75" x14ac:dyDescent="0.25">
      <c r="A11" s="1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225 Students</vt:lpstr>
      <vt:lpstr>Library 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Esch</dc:creator>
  <cp:lastModifiedBy>Myrlinda Soedjede</cp:lastModifiedBy>
  <cp:lastPrinted>2019-01-30T15:38:56Z</cp:lastPrinted>
  <dcterms:created xsi:type="dcterms:W3CDTF">2019-01-28T17:51:52Z</dcterms:created>
  <dcterms:modified xsi:type="dcterms:W3CDTF">2019-07-24T15:48:49Z</dcterms:modified>
</cp:coreProperties>
</file>