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8980" windowHeight="12300" firstSheet="1" activeTab="1"/>
  </bookViews>
  <sheets>
    <sheet name="Summary" sheetId="4" state="hidden" r:id="rId1"/>
    <sheet name="55 students" sheetId="19" r:id="rId2"/>
    <sheet name="50 students" sheetId="18" r:id="rId3"/>
    <sheet name="40 students" sheetId="17" r:id="rId4"/>
    <sheet name="30 students" sheetId="16" r:id="rId5"/>
    <sheet name="20 students" sheetId="15" r:id="rId6"/>
    <sheet name="Table" sheetId="3" r:id="rId7"/>
    <sheet name="Curriculum" sheetId="5" r:id="rId8"/>
    <sheet name="Faculty Cost" sheetId="20" r:id="rId9"/>
    <sheet name="FY19" sheetId="6" state="hidden" r:id="rId10"/>
    <sheet name="FY19 Table" sheetId="7" state="hidden" r:id="rId11"/>
    <sheet name="FY20" sheetId="8" state="hidden" r:id="rId12"/>
    <sheet name="FY20 Table" sheetId="9" state="hidden" r:id="rId13"/>
    <sheet name="3-3 Load Summary" sheetId="10" state="hidden" r:id="rId14"/>
    <sheet name="3-3 Load Table" sheetId="11" state="hidden" r:id="rId15"/>
    <sheet name="3-3 Load Summary Revised" sheetId="12" state="hidden" r:id="rId16"/>
    <sheet name="3-3 Load Table Revised" sheetId="13" state="hidden" r:id="rId17"/>
  </sheets>
  <definedNames/>
  <calcPr calcId="171027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<sst xmlns="http://schemas.openxmlformats.org/spreadsheetml/2006/main" count="1745" uniqueCount="212">
  <si>
    <t>UGRD</t>
  </si>
  <si>
    <t>Enrollment</t>
  </si>
  <si>
    <t>College</t>
  </si>
  <si>
    <t>Global Campus</t>
  </si>
  <si>
    <t>General Revenue</t>
  </si>
  <si>
    <t>Instructional Costs</t>
  </si>
  <si>
    <t>College Instructional Costs</t>
  </si>
  <si>
    <t>Expense Based Instructional Costs</t>
  </si>
  <si>
    <t>Costs Held in Central CCN</t>
  </si>
  <si>
    <t>Subject</t>
  </si>
  <si>
    <t>Catalog</t>
  </si>
  <si>
    <t>Section</t>
  </si>
  <si>
    <t>Course Title</t>
  </si>
  <si>
    <t>Career</t>
  </si>
  <si>
    <t>Location</t>
  </si>
  <si>
    <t>Instructor</t>
  </si>
  <si>
    <t>Credit Hours</t>
  </si>
  <si>
    <t>Instructional Notes</t>
  </si>
  <si>
    <t>Salary</t>
  </si>
  <si>
    <t>Fringes</t>
  </si>
  <si>
    <t>Total (Salary+Fringes)</t>
  </si>
  <si>
    <t>Other Direct Expenses</t>
  </si>
  <si>
    <t>Total Expenses</t>
  </si>
  <si>
    <t>Tuition After Instruction and Expenses</t>
  </si>
  <si>
    <t>Number of Online Only Students</t>
  </si>
  <si>
    <t>% of Online Only Students</t>
  </si>
  <si>
    <t xml:space="preserve">Global Campus </t>
  </si>
  <si>
    <t>ARSC</t>
  </si>
  <si>
    <t>Number of Both Students</t>
  </si>
  <si>
    <t>% of Both Students</t>
  </si>
  <si>
    <t>General Revenue Both</t>
  </si>
  <si>
    <t>Direct Expenses back to GC (ex. Proctoring</t>
  </si>
  <si>
    <t>Instructional Cost - Cost Center Balance</t>
  </si>
  <si>
    <t>JOUR</t>
  </si>
  <si>
    <t>901</t>
  </si>
  <si>
    <t>MEDIA LAW</t>
  </si>
  <si>
    <t>STHM</t>
  </si>
  <si>
    <t>FUNDAMENTALS OF JOURNALISM</t>
  </si>
  <si>
    <t>MEDIA AND SOCIETY</t>
  </si>
  <si>
    <t>WRITING FOR TODAY'S MEDIA</t>
  </si>
  <si>
    <t>MULTIMEDIA JOURNALISM</t>
  </si>
  <si>
    <t>ETHICS IN JOURNALISM</t>
  </si>
  <si>
    <t>Kincaid,Delcie Ann</t>
  </si>
  <si>
    <t>Tuychiev,Hayot Avazovich</t>
  </si>
  <si>
    <t>Watkins,Patsy</t>
  </si>
  <si>
    <t>Fosu,Ignatius</t>
  </si>
  <si>
    <t>Rachal, Carol</t>
  </si>
  <si>
    <t>CISP</t>
  </si>
  <si>
    <t>A</t>
  </si>
  <si>
    <t>CIN</t>
  </si>
  <si>
    <t>TTIN</t>
  </si>
  <si>
    <t>TTIR</t>
  </si>
  <si>
    <t>Online Classes -  J. William Fulbright College of Arts and Sciences</t>
  </si>
  <si>
    <t>*TTIN = Tenure Track In Load No Replacement; TTIR = Tenure Track In Load Replacement or Not Hard funded; O = Overload; A = Adjunct (per course payment)</t>
  </si>
  <si>
    <t>FY'17</t>
  </si>
  <si>
    <t>SalNC Fringe</t>
  </si>
  <si>
    <t>*CIN = Clinical In Load No Replacement; CIR = Clinical In Load Replacement; IR = 100% appt instructor/lecturer/VAP with replacement or not hard funded; IN = 100% appt inst/lect/VAP hard funded and no replacement; GA = Graduate Assistant</t>
  </si>
  <si>
    <t>SalGA Fringe</t>
  </si>
  <si>
    <t>*CISP = Clinical In Load Hired Specifically for Program (Similar to adjuncts but appointed as clinical - program must pay instructional cost for position to continue)</t>
  </si>
  <si>
    <t>Wages Fringe</t>
  </si>
  <si>
    <t>**Employee Types: 1=appointed (SalNC); 2=Extra Comp; 3=GA (SalGA); 4=Hourly (WagesStu); 5=Hourly (Wages)</t>
  </si>
  <si>
    <t>WagesStu Fringe</t>
  </si>
  <si>
    <t>OtherCom Fringe</t>
  </si>
  <si>
    <t>Summer &amp; Extra Compensation</t>
  </si>
  <si>
    <t>UGRD Tuition</t>
  </si>
  <si>
    <t>GRAD Tuition</t>
  </si>
  <si>
    <t>Estimated Enrollment</t>
  </si>
  <si>
    <t>Tuition Estimate</t>
  </si>
  <si>
    <t>Instructional Cost Code*</t>
  </si>
  <si>
    <t>Employee Type**</t>
  </si>
  <si>
    <t>FY'17 9 Month FTE Salary</t>
  </si>
  <si>
    <t>Reed,Niketa S</t>
  </si>
  <si>
    <t>Employee Type</t>
  </si>
  <si>
    <t>New Employee</t>
  </si>
  <si>
    <t>O</t>
  </si>
  <si>
    <t>CIR</t>
  </si>
  <si>
    <t>IR</t>
  </si>
  <si>
    <t>IN</t>
  </si>
  <si>
    <t>GA</t>
  </si>
  <si>
    <t>Type Enrollment Number</t>
  </si>
  <si>
    <t>Select "O" for Online Only or "B" for Both</t>
  </si>
  <si>
    <t xml:space="preserve">** This assumes all classes have the same number of students enrolled. </t>
  </si>
  <si>
    <t>Online</t>
  </si>
  <si>
    <t>50/50</t>
  </si>
  <si>
    <t>Shelton, Gina</t>
  </si>
  <si>
    <t>Instructor Code</t>
  </si>
  <si>
    <t>Percentage</t>
  </si>
  <si>
    <t>A1</t>
  </si>
  <si>
    <t>A2</t>
  </si>
  <si>
    <t>ADJUNCT1</t>
  </si>
  <si>
    <t>A3</t>
  </si>
  <si>
    <t>ADJUNCT2</t>
  </si>
  <si>
    <t>ADJUNCT3</t>
  </si>
  <si>
    <t>Degree Requirements</t>
  </si>
  <si>
    <t>Course Number</t>
  </si>
  <si>
    <t>Course Name</t>
  </si>
  <si>
    <t xml:space="preserve">Select Instructor                       (From drop down table) </t>
  </si>
  <si>
    <t xml:space="preserve">** These calculations are based on the selected employees in the above table. These calculations are fixed and will not change with adjustments made in the Table above. </t>
  </si>
  <si>
    <t>o</t>
  </si>
  <si>
    <t>Journalism Minor</t>
  </si>
  <si>
    <t>**This assumption only allows either 100% Online Only or 50% Online and 50% Face-to-Face</t>
  </si>
  <si>
    <t>b</t>
  </si>
  <si>
    <t>Annual Salary</t>
  </si>
  <si>
    <t>FY'18</t>
  </si>
  <si>
    <t>In addition to the core requirements for your degree, these are the courses required for the major:</t>
  </si>
  <si>
    <t>Instructor Codes:</t>
  </si>
  <si>
    <t>Percentage of Salary per Credit Hour OR Flat amount for teaching</t>
  </si>
  <si>
    <t>Semester Offered*</t>
  </si>
  <si>
    <t>*Over the course of one cohort obtaining this degree, please indicate which semester this course will be offered (Fall 2019, Spring 2020, etc.).</t>
  </si>
  <si>
    <t>CRIM 2003</t>
  </si>
  <si>
    <t>Intro to Criminal Justice</t>
  </si>
  <si>
    <t>Fall/Spring</t>
  </si>
  <si>
    <t>SOCI 2013</t>
  </si>
  <si>
    <t>General Sociology</t>
  </si>
  <si>
    <t>CRIM 2043</t>
  </si>
  <si>
    <t>Criminal Law</t>
  </si>
  <si>
    <t>Criminology</t>
  </si>
  <si>
    <t>CRIM/SOCI 3023</t>
  </si>
  <si>
    <t>CRIM 3043</t>
  </si>
  <si>
    <t>Police &amp; Society</t>
  </si>
  <si>
    <t xml:space="preserve">Fall </t>
  </si>
  <si>
    <t>CRIM/SOCI 3203</t>
  </si>
  <si>
    <t>Corrections</t>
  </si>
  <si>
    <t>SOCI 3303/3301</t>
  </si>
  <si>
    <t>Social Data Analysis</t>
  </si>
  <si>
    <t>SOCI 3313</t>
  </si>
  <si>
    <t>Social Research</t>
  </si>
  <si>
    <t>CRIM/SOCI 3723</t>
  </si>
  <si>
    <t>Deviant Behavior</t>
  </si>
  <si>
    <t>CRIM/SOCI 3513</t>
  </si>
  <si>
    <t>Criminal Evidence</t>
  </si>
  <si>
    <t>Spring</t>
  </si>
  <si>
    <t>CRIM/SOCI 3063</t>
  </si>
  <si>
    <t>Victimology</t>
  </si>
  <si>
    <t>CRIM 3503</t>
  </si>
  <si>
    <t>Criminal Procedures</t>
  </si>
  <si>
    <t>CRIM 4013</t>
  </si>
  <si>
    <t>Special Topics in Criminology</t>
  </si>
  <si>
    <t>CRIM 4043</t>
  </si>
  <si>
    <t>SOCI 4013</t>
  </si>
  <si>
    <t>Special Topics in Sociology</t>
  </si>
  <si>
    <t>CRIM 3413</t>
  </si>
  <si>
    <t>SOCI 3413</t>
  </si>
  <si>
    <t>These courses will be offered every year, either one a year or twice a year</t>
  </si>
  <si>
    <t>CRIM 2003 (3&amp;3/F&amp;S)</t>
  </si>
  <si>
    <t>SOCI 2013 (3&amp;3/F&amp;S)</t>
  </si>
  <si>
    <t>Fall /Spring</t>
  </si>
  <si>
    <t>SOCI 3313 and SOCI 3303 + Lab (2&amp;2/F&amp;S)</t>
  </si>
  <si>
    <t>CRIM/SOCI 3023; CRIM 3043; CRIM 2043 (2&amp;2/F&amp;S)</t>
  </si>
  <si>
    <t>CRIM/SOCI 3723 (F&amp;S)</t>
  </si>
  <si>
    <t>CRIM 3513 (Sp) CRIM 3503 (F)</t>
  </si>
  <si>
    <t>CRIM/SOCI 3063 (Sp)</t>
  </si>
  <si>
    <t>Juvenile Justice</t>
  </si>
  <si>
    <t>CRIM/SOCI 3203 (F&amp;S); CRIM 4043 (F)</t>
  </si>
  <si>
    <t>CRIM/SOCI 3413; CRIM/SOCI 4013</t>
  </si>
  <si>
    <t>Comment: It's easier to fill this out with courses rather than names</t>
  </si>
  <si>
    <t>Question: how are we going to do the lab? We have 10 hrs of GA time designated to teach our lab on campus</t>
  </si>
  <si>
    <t>Comment: some courses will be offered in multiple sections</t>
  </si>
  <si>
    <t>Comment: we would hire VAPs for the first three years (at50K) ; then convert to CISPs (promotion)</t>
  </si>
  <si>
    <t>Required courses are in bold; electives are in regular font</t>
  </si>
  <si>
    <t>New Online Course</t>
  </si>
  <si>
    <t>New</t>
  </si>
  <si>
    <t>Required courses are yellow.</t>
  </si>
  <si>
    <t>Elective courses are blue.</t>
  </si>
  <si>
    <t>Criminology Major</t>
  </si>
  <si>
    <t>CRIM</t>
  </si>
  <si>
    <t>INTRO TO CRIMINAL JUSTICE</t>
  </si>
  <si>
    <t>SOCI</t>
  </si>
  <si>
    <t>GENERAL SOCIOLOGY</t>
  </si>
  <si>
    <t>CRIMINAL LAW</t>
  </si>
  <si>
    <t>CRIM/SOCI</t>
  </si>
  <si>
    <t>CRIMINOLOGY</t>
  </si>
  <si>
    <t>POLICE &amp; SOCIETY</t>
  </si>
  <si>
    <t>CORRECTIONS</t>
  </si>
  <si>
    <t>SOCIAL RESEARCH</t>
  </si>
  <si>
    <t>DEVIANT BEHAVIOR</t>
  </si>
  <si>
    <t>CRIMINAL EVIDENCE</t>
  </si>
  <si>
    <t>VICTIMOLOGY</t>
  </si>
  <si>
    <t>CRIMINAL PROCEDURES</t>
  </si>
  <si>
    <t>SPECIAL TOPICS IN CRIMINOLOGY</t>
  </si>
  <si>
    <t>JUVENILE JUSTICE</t>
  </si>
  <si>
    <t>SPECIAL TOPICS IN SOCIOLOGY</t>
  </si>
  <si>
    <t>YELLOW = REQUIRED MAJOR CLASSES</t>
  </si>
  <si>
    <t>BLUE = ELECTIVES (12 HOURS)</t>
  </si>
  <si>
    <t>Instructional Cost Code</t>
  </si>
  <si>
    <t>Visiting Assistant Professor</t>
  </si>
  <si>
    <t>Visiting/Clinical Assistant Professor</t>
  </si>
  <si>
    <t>SOCIAL DATA ANALYSIS &amp; LAB</t>
  </si>
  <si>
    <t>3303/3301</t>
  </si>
  <si>
    <t>Adjunct Faculty</t>
  </si>
  <si>
    <t>9 Month FTE Salary</t>
  </si>
  <si>
    <t>Semester Offered</t>
  </si>
  <si>
    <t>Fall</t>
  </si>
  <si>
    <t>Program Development during Years 1-3 and Maintenance (Fall 2018 - Spring 2021) with 30 fulltime students</t>
  </si>
  <si>
    <t>Expense Category</t>
  </si>
  <si>
    <t>Credit Hrs Taught Online</t>
  </si>
  <si>
    <t>Time Period</t>
  </si>
  <si>
    <t>Fringe</t>
  </si>
  <si>
    <t>Annual Instructional Costs</t>
  </si>
  <si>
    <t>Covered by GC Using Current Formula</t>
  </si>
  <si>
    <t>Unmet Instructional Costs</t>
  </si>
  <si>
    <t>EXPLANATION</t>
  </si>
  <si>
    <t>Fall 2018 - Spring 2020</t>
  </si>
  <si>
    <r>
      <t>We will need a new online only VAP whose salary will be charged as instructional costs;. Under the current funding formula of 4% x (salary + fringes) x credits taught for fully online instru</t>
    </r>
    <r>
      <rPr>
        <b/>
        <sz val="10.5"/>
        <rFont val="Calibri"/>
        <family val="2"/>
      </rPr>
      <t xml:space="preserve">ctors, </t>
    </r>
    <r>
      <rPr>
        <b/>
        <sz val="11"/>
        <rFont val="Calibri"/>
        <family val="2"/>
      </rPr>
      <t xml:space="preserve">$62,870.40 </t>
    </r>
    <r>
      <rPr>
        <b/>
        <sz val="10.5"/>
        <rFont val="Calibri"/>
        <family val="2"/>
      </rPr>
      <t xml:space="preserve">of </t>
    </r>
    <r>
      <rPr>
        <b/>
        <sz val="10.5"/>
        <color theme="1"/>
        <rFont val="Calibri"/>
        <family val="2"/>
      </rPr>
      <t xml:space="preserve">the VAP's salary will be covered by Global Campus leaving the unmet instructional cost  at  </t>
    </r>
    <r>
      <rPr>
        <b/>
        <sz val="11"/>
        <color rgb="FFC00000"/>
        <rFont val="Calibri"/>
        <family val="2"/>
      </rPr>
      <t>$2,619.60</t>
    </r>
    <r>
      <rPr>
        <b/>
        <sz val="10.5"/>
        <color theme="1"/>
        <rFont val="Calibri"/>
        <family val="2"/>
      </rPr>
      <t xml:space="preserve">.  The VAP would teach upper level required courses (e.g., CRIM 3023, CRIM 3043, CRIM 3203) and upper level electives (e.g., CRIM 3413). </t>
    </r>
  </si>
  <si>
    <r>
      <t xml:space="preserve">We will continue our fully online VAP whose salary will be charged as instructional costs;. Under the current funding formula of 4% x (salary + fringes) x credits taught for fully </t>
    </r>
    <r>
      <rPr>
        <b/>
        <sz val="10.5"/>
        <rFont val="Calibri"/>
        <family val="2"/>
      </rPr>
      <t xml:space="preserve">online instructors, </t>
    </r>
    <r>
      <rPr>
        <b/>
        <sz val="11"/>
        <rFont val="Calibri"/>
        <family val="2"/>
      </rPr>
      <t xml:space="preserve">$62,870.40 </t>
    </r>
    <r>
      <rPr>
        <b/>
        <sz val="10.5"/>
        <rFont val="Calibri"/>
        <family val="2"/>
      </rPr>
      <t>of the VAP</t>
    </r>
    <r>
      <rPr>
        <b/>
        <sz val="10.5"/>
        <color theme="1"/>
        <rFont val="Calibri"/>
        <family val="2"/>
      </rPr>
      <t xml:space="preserve">'s salary will be covered by Global Campus leaving the unmet instructional cost  at </t>
    </r>
    <r>
      <rPr>
        <b/>
        <sz val="11"/>
        <color rgb="FFC00000"/>
        <rFont val="Calibri"/>
        <family val="2"/>
      </rPr>
      <t xml:space="preserve"> $2,619.60.</t>
    </r>
    <r>
      <rPr>
        <b/>
        <sz val="10.5"/>
        <color theme="1"/>
        <rFont val="Calibri"/>
        <family val="2"/>
      </rPr>
      <t xml:space="preserve">  The VAP would teach upper level required courses (SOCI 3303 and SOCI 3313).</t>
    </r>
  </si>
  <si>
    <t xml:space="preserve">Adjuncts hired to provide Instructional support </t>
  </si>
  <si>
    <t xml:space="preserve"> Fall 2018 - Spring 2020</t>
  </si>
  <si>
    <t>The department will  hire adjuncts who will  teach lower-level sections of CRIM courses; they will be paid on per course basis (5,000 + fringes) x 6 courses</t>
  </si>
  <si>
    <t xml:space="preserve">Adjuncts hired to provide instructional support </t>
  </si>
  <si>
    <t>The department will hire adjuncts would teach three online sections of SOCI 2013 ; ($5,000 + fringes) x 6 courses</t>
  </si>
  <si>
    <t>ANNUAL TOTAL EXPENSES</t>
  </si>
  <si>
    <r>
      <t xml:space="preserve">Total annual instructional expenses will amount  for online only teaching will amount to $204,329.  Using the current formula for online only VAP; the unmet instructional costs will be </t>
    </r>
    <r>
      <rPr>
        <b/>
        <sz val="12"/>
        <color rgb="FFFF0000"/>
        <rFont val="Calibri"/>
        <family val="2"/>
      </rPr>
      <t xml:space="preserve">$5,239 </t>
    </r>
    <r>
      <rPr>
        <b/>
        <sz val="12"/>
        <color theme="1"/>
        <rFont val="Calibri"/>
        <family val="2"/>
      </rPr>
      <t xml:space="preserve">a year.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</si>
</sst>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$-409]mmmm\ d\,\ yyyy;@"/>
    <numFmt numFmtId="166" formatCode="#,##0;[Red]#,##0"/>
    <numFmt numFmtId="167" formatCode="0.0%"/>
    <numFmt numFmtId="168" formatCode="&quot;$&quot;#,##0"/>
    <numFmt numFmtId="169" formatCode="&quot;$&quot;#,##0.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2"/>
      <color theme="1"/>
      <name val="Calibri"/>
      <family val="2"/>
      <scheme val="minor"/>
    </font>
    <font>
      <b/>
      <sz val="10"/>
      <color rgb="FF7030A0"/>
      <name val="Arial"/>
      <family val="2"/>
    </font>
    <font>
      <b/>
      <sz val="12"/>
      <color rgb="FF7030A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333333"/>
      <name val="Arial"/>
      <family val="2"/>
    </font>
    <font>
      <sz val="12"/>
      <color rgb="FF5A5A5A"/>
      <name val="Arial"/>
      <family val="2"/>
    </font>
    <font>
      <b/>
      <sz val="10"/>
      <color rgb="FF5A5A5A"/>
      <name val="Arial"/>
      <family val="2"/>
    </font>
    <font>
      <sz val="10"/>
      <color rgb="FF5A5A5A"/>
      <name val="Arial"/>
      <family val="2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.5"/>
      <color theme="1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3CCCC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medium">
        <color rgb="FFDDDDDD"/>
      </bottom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</cellStyleXfs>
  <cellXfs count="256">
    <xf numFmtId="0" fontId="0" fillId="0" borderId="0" xfId="0"/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0" fontId="3" fillId="0" borderId="0" xfId="0" applyNumberFormat="1" applyFont="1"/>
    <xf numFmtId="0" fontId="0" fillId="0" borderId="0" xfId="0" applyNumberFormat="1" applyAlignment="1">
      <alignment horizontal="center" vertical="center"/>
    </xf>
    <xf numFmtId="40" fontId="10" fillId="2" borderId="0" xfId="0" applyNumberFormat="1" applyFont="1" applyFill="1"/>
    <xf numFmtId="40" fontId="10" fillId="3" borderId="0" xfId="0" applyNumberFormat="1" applyFont="1" applyFill="1"/>
    <xf numFmtId="0" fontId="11" fillId="0" borderId="0" xfId="0" applyNumberFormat="1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40" fontId="9" fillId="4" borderId="1" xfId="0" applyNumberFormat="1" applyFont="1" applyFill="1" applyBorder="1" applyAlignment="1">
      <alignment horizontal="center" vertical="center" wrapText="1"/>
    </xf>
    <xf numFmtId="44" fontId="9" fillId="4" borderId="1" xfId="0" applyNumberFormat="1" applyFont="1" applyFill="1" applyBorder="1" applyAlignment="1">
      <alignment horizontal="center" vertical="center" wrapText="1"/>
    </xf>
    <xf numFmtId="4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>
      <alignment horizontal="center" vertical="center" wrapText="1"/>
    </xf>
    <xf numFmtId="43" fontId="8" fillId="4" borderId="1" xfId="18" applyFont="1" applyFill="1" applyBorder="1" applyAlignment="1">
      <alignment horizontal="center" vertical="center" wrapText="1"/>
    </xf>
    <xf numFmtId="0" fontId="3" fillId="5" borderId="0" xfId="18" applyNumberFormat="1" applyFont="1" applyFill="1" applyAlignment="1">
      <alignment horizontal="center" vertical="center"/>
    </xf>
    <xf numFmtId="10" fontId="8" fillId="5" borderId="0" xfId="15" applyNumberFormat="1" applyFont="1" applyFill="1"/>
    <xf numFmtId="1" fontId="0" fillId="0" borderId="0" xfId="0" applyNumberFormat="1" applyFont="1"/>
    <xf numFmtId="10" fontId="11" fillId="0" borderId="0" xfId="15" applyNumberFormat="1" applyFont="1" applyFill="1"/>
    <xf numFmtId="0" fontId="10" fillId="0" borderId="0" xfId="0" applyFont="1"/>
    <xf numFmtId="0" fontId="0" fillId="0" borderId="0" xfId="0" applyFont="1" applyFill="1"/>
    <xf numFmtId="0" fontId="0" fillId="0" borderId="0" xfId="0" applyBorder="1" applyAlignment="1">
      <alignment vertical="center"/>
    </xf>
    <xf numFmtId="165" fontId="15" fillId="0" borderId="0" xfId="21" applyFont="1" applyAlignment="1">
      <alignment horizontal="left"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0" fontId="11" fillId="6" borderId="2" xfId="15" applyNumberFormat="1" applyFont="1" applyFill="1" applyBorder="1"/>
    <xf numFmtId="0" fontId="11" fillId="6" borderId="3" xfId="22" applyFont="1" applyFill="1" applyBorder="1">
      <alignment/>
      <protection/>
    </xf>
    <xf numFmtId="0" fontId="0" fillId="0" borderId="0" xfId="0" applyNumberFormat="1" applyFont="1"/>
    <xf numFmtId="10" fontId="0" fillId="0" borderId="0" xfId="0" applyNumberFormat="1" applyFont="1"/>
    <xf numFmtId="10" fontId="11" fillId="6" borderId="0" xfId="15" applyNumberFormat="1" applyFont="1" applyFill="1" applyBorder="1"/>
    <xf numFmtId="0" fontId="11" fillId="6" borderId="4" xfId="22" applyFont="1" applyFill="1" applyBorder="1">
      <alignment/>
      <protection/>
    </xf>
    <xf numFmtId="0" fontId="6" fillId="0" borderId="0" xfId="0" applyFont="1"/>
    <xf numFmtId="0" fontId="4" fillId="0" borderId="0" xfId="0" applyFont="1" applyAlignment="1">
      <alignment horizontal="center"/>
    </xf>
    <xf numFmtId="165" fontId="18" fillId="0" borderId="0" xfId="21" applyFont="1" applyAlignment="1">
      <alignment/>
      <protection/>
    </xf>
    <xf numFmtId="165" fontId="19" fillId="0" borderId="0" xfId="21" applyFont="1" applyAlignment="1">
      <alignment/>
      <protection/>
    </xf>
    <xf numFmtId="0" fontId="11" fillId="6" borderId="0" xfId="0" applyFont="1" applyFill="1" applyBorder="1"/>
    <xf numFmtId="0" fontId="11" fillId="6" borderId="4" xfId="0" applyFont="1" applyFill="1" applyBorder="1"/>
    <xf numFmtId="0" fontId="4" fillId="0" borderId="0" xfId="0" applyFont="1" applyAlignment="1">
      <alignment horizontal="right"/>
    </xf>
    <xf numFmtId="0" fontId="11" fillId="6" borderId="5" xfId="0" applyFont="1" applyFill="1" applyBorder="1"/>
    <xf numFmtId="0" fontId="11" fillId="6" borderId="6" xfId="0" applyFont="1" applyFill="1" applyBorder="1"/>
    <xf numFmtId="0" fontId="0" fillId="0" borderId="0" xfId="0" applyFont="1" applyAlignment="1">
      <alignment horizontal="right"/>
    </xf>
    <xf numFmtId="0" fontId="11" fillId="0" borderId="0" xfId="0" applyFont="1"/>
    <xf numFmtId="43" fontId="8" fillId="4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right"/>
    </xf>
    <xf numFmtId="164" fontId="3" fillId="5" borderId="0" xfId="0" applyNumberFormat="1" applyFont="1" applyFill="1"/>
    <xf numFmtId="164" fontId="3" fillId="5" borderId="0" xfId="0" applyNumberFormat="1" applyFont="1" applyFill="1" applyAlignment="1">
      <alignment horizontal="center" vertical="center"/>
    </xf>
    <xf numFmtId="1" fontId="0" fillId="0" borderId="7" xfId="0" applyNumberFormat="1" applyFont="1" applyFill="1" applyBorder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/>
    <xf numFmtId="166" fontId="0" fillId="0" borderId="0" xfId="0" applyNumberFormat="1" applyFont="1" applyFill="1"/>
    <xf numFmtId="4" fontId="10" fillId="0" borderId="0" xfId="0" applyNumberFormat="1" applyFont="1" applyFill="1"/>
    <xf numFmtId="0" fontId="10" fillId="0" borderId="0" xfId="0" applyNumberFormat="1" applyFont="1" applyFill="1"/>
    <xf numFmtId="164" fontId="11" fillId="0" borderId="0" xfId="0" applyNumberFormat="1" applyFont="1" applyFill="1"/>
    <xf numFmtId="0" fontId="3" fillId="0" borderId="0" xfId="0" applyFont="1" applyFill="1"/>
    <xf numFmtId="1" fontId="3" fillId="0" borderId="7" xfId="0" applyNumberFormat="1" applyFont="1" applyFill="1" applyBorder="1"/>
    <xf numFmtId="0" fontId="3" fillId="0" borderId="0" xfId="0" applyFont="1" applyAlignment="1">
      <alignment horizontal="right"/>
    </xf>
    <xf numFmtId="164" fontId="0" fillId="0" borderId="0" xfId="0" applyNumberFormat="1" applyFont="1"/>
    <xf numFmtId="0" fontId="3" fillId="5" borderId="8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40" fontId="0" fillId="0" borderId="0" xfId="0" applyNumberFormat="1" applyAlignment="1">
      <alignment horizontal="center" vertical="center" wrapText="1"/>
    </xf>
    <xf numFmtId="40" fontId="10" fillId="4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43" fontId="9" fillId="4" borderId="1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2" fillId="7" borderId="11" xfId="0" applyFont="1" applyFill="1" applyBorder="1"/>
    <xf numFmtId="0" fontId="12" fillId="7" borderId="12" xfId="0" applyFont="1" applyFill="1" applyBorder="1"/>
    <xf numFmtId="0" fontId="0" fillId="0" borderId="13" xfId="0" applyBorder="1"/>
    <xf numFmtId="0" fontId="0" fillId="0" borderId="14" xfId="0" applyBorder="1"/>
    <xf numFmtId="4" fontId="0" fillId="0" borderId="13" xfId="0" applyNumberFormat="1" applyBorder="1" applyAlignment="1">
      <alignment horizontal="right"/>
    </xf>
    <xf numFmtId="4" fontId="0" fillId="0" borderId="13" xfId="0" applyNumberFormat="1" applyBorder="1"/>
    <xf numFmtId="4" fontId="11" fillId="0" borderId="13" xfId="20" applyNumberFormat="1" applyFont="1" applyFill="1" applyBorder="1">
      <alignment/>
      <protection/>
    </xf>
    <xf numFmtId="4" fontId="0" fillId="0" borderId="14" xfId="0" applyNumberFormat="1" applyBorder="1"/>
    <xf numFmtId="0" fontId="11" fillId="0" borderId="13" xfId="20" applyFont="1" applyFill="1" applyBorder="1">
      <alignment/>
      <protection/>
    </xf>
    <xf numFmtId="0" fontId="3" fillId="4" borderId="15" xfId="0" applyFont="1" applyFill="1" applyBorder="1"/>
    <xf numFmtId="0" fontId="5" fillId="7" borderId="16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 vertical="center" wrapText="1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8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2" fillId="0" borderId="0" xfId="0" applyFont="1"/>
    <xf numFmtId="44" fontId="9" fillId="5" borderId="0" xfId="16" applyFont="1" applyFill="1"/>
    <xf numFmtId="44" fontId="3" fillId="5" borderId="0" xfId="16" applyFont="1" applyFill="1"/>
    <xf numFmtId="44" fontId="10" fillId="0" borderId="0" xfId="16" applyFont="1" applyFill="1"/>
    <xf numFmtId="44" fontId="11" fillId="0" borderId="0" xfId="16" applyFont="1" applyFill="1"/>
    <xf numFmtId="44" fontId="3" fillId="5" borderId="0" xfId="16" applyFont="1" applyFill="1" applyAlignment="1">
      <alignment horizontal="center"/>
    </xf>
    <xf numFmtId="44" fontId="11" fillId="0" borderId="0" xfId="16" applyFont="1" applyFill="1" applyAlignment="1">
      <alignment horizontal="center"/>
    </xf>
    <xf numFmtId="44" fontId="10" fillId="0" borderId="0" xfId="16" applyFont="1" applyFill="1" applyAlignment="1">
      <alignment horizontal="right"/>
    </xf>
    <xf numFmtId="44" fontId="0" fillId="0" borderId="0" xfId="16" applyFont="1" applyFill="1"/>
    <xf numFmtId="44" fontId="0" fillId="0" borderId="0" xfId="16" applyFont="1" applyFill="1" applyAlignment="1">
      <alignment horizontal="right"/>
    </xf>
    <xf numFmtId="0" fontId="11" fillId="6" borderId="0" xfId="22" applyFont="1" applyFill="1" applyBorder="1">
      <alignment/>
      <protection/>
    </xf>
    <xf numFmtId="0" fontId="11" fillId="6" borderId="5" xfId="22" applyFont="1" applyFill="1" applyBorder="1">
      <alignment/>
      <protection/>
    </xf>
    <xf numFmtId="0" fontId="0" fillId="0" borderId="0" xfId="0" applyBorder="1"/>
    <xf numFmtId="4" fontId="0" fillId="0" borderId="0" xfId="0" applyNumberFormat="1" applyBorder="1"/>
    <xf numFmtId="0" fontId="11" fillId="6" borderId="2" xfId="22" applyFont="1" applyFill="1" applyBorder="1">
      <alignment/>
      <protection/>
    </xf>
    <xf numFmtId="0" fontId="3" fillId="4" borderId="16" xfId="0" applyFont="1" applyFill="1" applyBorder="1"/>
    <xf numFmtId="0" fontId="0" fillId="0" borderId="4" xfId="0" applyBorder="1"/>
    <xf numFmtId="0" fontId="0" fillId="0" borderId="6" xfId="0" applyFill="1" applyBorder="1"/>
    <xf numFmtId="0" fontId="0" fillId="0" borderId="0" xfId="0" applyAlignment="1">
      <alignment vertical="center" wrapText="1"/>
    </xf>
    <xf numFmtId="0" fontId="3" fillId="9" borderId="0" xfId="18" applyNumberFormat="1" applyFont="1" applyFill="1" applyAlignment="1">
      <alignment horizontal="center" vertical="center"/>
    </xf>
    <xf numFmtId="10" fontId="8" fillId="9" borderId="0" xfId="15" applyNumberFormat="1" applyFont="1" applyFill="1"/>
    <xf numFmtId="44" fontId="3" fillId="9" borderId="0" xfId="16" applyFont="1" applyFill="1" applyAlignment="1">
      <alignment horizontal="center"/>
    </xf>
    <xf numFmtId="44" fontId="3" fillId="9" borderId="0" xfId="16" applyFont="1" applyFill="1"/>
    <xf numFmtId="0" fontId="3" fillId="10" borderId="0" xfId="0" applyFont="1" applyFill="1"/>
    <xf numFmtId="0" fontId="3" fillId="11" borderId="0" xfId="0" applyFont="1" applyFill="1"/>
    <xf numFmtId="0" fontId="3" fillId="12" borderId="0" xfId="0" applyFont="1" applyFill="1"/>
    <xf numFmtId="0" fontId="20" fillId="13" borderId="0" xfId="0" applyFont="1" applyFill="1"/>
    <xf numFmtId="0" fontId="21" fillId="0" borderId="0" xfId="0" applyFont="1" applyFill="1"/>
    <xf numFmtId="0" fontId="20" fillId="14" borderId="0" xfId="0" applyFont="1" applyFill="1"/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8" fillId="4" borderId="10" xfId="15" applyFont="1" applyFill="1" applyBorder="1" applyAlignment="1">
      <alignment horizontal="center" vertical="center" wrapText="1"/>
    </xf>
    <xf numFmtId="44" fontId="8" fillId="4" borderId="10" xfId="0" applyNumberFormat="1" applyFont="1" applyFill="1" applyBorder="1" applyAlignment="1">
      <alignment horizontal="center" vertical="center" wrapText="1"/>
    </xf>
    <xf numFmtId="9" fontId="8" fillId="4" borderId="17" xfId="15" applyFont="1" applyFill="1" applyBorder="1" applyAlignment="1">
      <alignment horizontal="center" vertical="center" wrapText="1"/>
    </xf>
    <xf numFmtId="44" fontId="8" fillId="4" borderId="17" xfId="0" applyNumberFormat="1" applyFont="1" applyFill="1" applyBorder="1" applyAlignment="1">
      <alignment horizontal="center" vertical="center" wrapText="1"/>
    </xf>
    <xf numFmtId="9" fontId="8" fillId="4" borderId="19" xfId="15" applyFont="1" applyFill="1" applyBorder="1" applyAlignment="1">
      <alignment horizontal="center" vertical="center" wrapText="1"/>
    </xf>
    <xf numFmtId="44" fontId="8" fillId="4" borderId="11" xfId="0" applyNumberFormat="1" applyFont="1" applyFill="1" applyBorder="1" applyAlignment="1">
      <alignment horizontal="center" vertical="center" wrapText="1"/>
    </xf>
    <xf numFmtId="44" fontId="3" fillId="5" borderId="13" xfId="16" applyFont="1" applyFill="1" applyBorder="1" applyAlignment="1">
      <alignment horizontal="center"/>
    </xf>
    <xf numFmtId="44" fontId="11" fillId="0" borderId="13" xfId="16" applyFont="1" applyFill="1" applyBorder="1" applyAlignment="1">
      <alignment horizontal="center"/>
    </xf>
    <xf numFmtId="0" fontId="0" fillId="0" borderId="13" xfId="0" applyFont="1" applyFill="1" applyBorder="1"/>
    <xf numFmtId="44" fontId="3" fillId="9" borderId="13" xfId="16" applyFont="1" applyFill="1" applyBorder="1" applyAlignment="1">
      <alignment horizontal="center"/>
    </xf>
    <xf numFmtId="44" fontId="3" fillId="9" borderId="14" xfId="16" applyFont="1" applyFill="1" applyBorder="1" applyAlignment="1">
      <alignment horizontal="center"/>
    </xf>
    <xf numFmtId="43" fontId="8" fillId="4" borderId="17" xfId="0" applyNumberFormat="1" applyFont="1" applyFill="1" applyBorder="1" applyAlignment="1">
      <alignment horizontal="center" vertical="center" wrapText="1"/>
    </xf>
    <xf numFmtId="43" fontId="12" fillId="8" borderId="15" xfId="0" applyNumberFormat="1" applyFont="1" applyFill="1" applyBorder="1" applyAlignment="1">
      <alignment horizontal="center" vertical="center" wrapText="1"/>
    </xf>
    <xf numFmtId="0" fontId="0" fillId="7" borderId="19" xfId="0" applyFont="1" applyFill="1" applyBorder="1"/>
    <xf numFmtId="0" fontId="0" fillId="7" borderId="11" xfId="0" applyFont="1" applyFill="1" applyBorder="1"/>
    <xf numFmtId="0" fontId="0" fillId="7" borderId="12" xfId="0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3" fillId="0" borderId="0" xfId="16" applyFont="1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/>
    <xf numFmtId="44" fontId="9" fillId="0" borderId="0" xfId="16" applyFont="1" applyFill="1"/>
    <xf numFmtId="0" fontId="0" fillId="0" borderId="0" xfId="0" applyFill="1"/>
    <xf numFmtId="0" fontId="3" fillId="0" borderId="0" xfId="18" applyNumberFormat="1" applyFont="1" applyFill="1" applyAlignment="1">
      <alignment horizontal="center" vertical="center"/>
    </xf>
    <xf numFmtId="10" fontId="8" fillId="0" borderId="0" xfId="15" applyNumberFormat="1" applyFont="1" applyFill="1"/>
    <xf numFmtId="44" fontId="3" fillId="0" borderId="0" xfId="16" applyFont="1" applyFill="1" applyAlignment="1">
      <alignment horizontal="center"/>
    </xf>
    <xf numFmtId="44" fontId="3" fillId="0" borderId="13" xfId="16" applyFont="1" applyFill="1" applyBorder="1" applyAlignment="1">
      <alignment horizontal="center"/>
    </xf>
    <xf numFmtId="0" fontId="20" fillId="0" borderId="0" xfId="0" applyFont="1" applyFill="1"/>
    <xf numFmtId="44" fontId="3" fillId="0" borderId="14" xfId="16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NumberFormat="1" applyFont="1" applyFill="1"/>
    <xf numFmtId="0" fontId="11" fillId="0" borderId="0" xfId="0" applyFont="1" applyFill="1"/>
    <xf numFmtId="4" fontId="0" fillId="0" borderId="20" xfId="0" applyNumberFormat="1" applyBorder="1" applyAlignment="1">
      <alignment horizontal="right"/>
    </xf>
    <xf numFmtId="0" fontId="25" fillId="0" borderId="0" xfId="0" applyFont="1" applyFill="1" applyAlignment="1">
      <alignment vertical="top"/>
    </xf>
    <xf numFmtId="0" fontId="24" fillId="0" borderId="21" xfId="0" applyFont="1" applyFill="1" applyBorder="1" applyAlignment="1">
      <alignment horizontal="left"/>
    </xf>
    <xf numFmtId="0" fontId="27" fillId="0" borderId="13" xfId="0" applyFont="1" applyBorder="1"/>
    <xf numFmtId="0" fontId="27" fillId="0" borderId="14" xfId="0" applyFont="1" applyBorder="1"/>
    <xf numFmtId="43" fontId="0" fillId="0" borderId="13" xfId="18" applyFont="1" applyBorder="1"/>
    <xf numFmtId="167" fontId="0" fillId="0" borderId="13" xfId="15" applyNumberFormat="1" applyFont="1" applyBorder="1"/>
    <xf numFmtId="43" fontId="0" fillId="0" borderId="20" xfId="18" applyFont="1" applyBorder="1"/>
    <xf numFmtId="167" fontId="0" fillId="0" borderId="14" xfId="15" applyNumberFormat="1" applyFont="1" applyBorder="1"/>
    <xf numFmtId="0" fontId="27" fillId="0" borderId="20" xfId="0" applyFont="1" applyBorder="1"/>
    <xf numFmtId="0" fontId="26" fillId="0" borderId="20" xfId="0" applyFont="1" applyBorder="1"/>
    <xf numFmtId="0" fontId="26" fillId="0" borderId="13" xfId="0" applyFont="1" applyBorder="1"/>
    <xf numFmtId="0" fontId="26" fillId="0" borderId="13" xfId="0" applyFont="1" applyFill="1" applyBorder="1"/>
    <xf numFmtId="0" fontId="26" fillId="0" borderId="14" xfId="0" applyFont="1" applyBorder="1"/>
    <xf numFmtId="44" fontId="11" fillId="6" borderId="0" xfId="16" applyFont="1" applyFill="1" applyBorder="1"/>
    <xf numFmtId="44" fontId="11" fillId="6" borderId="5" xfId="16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15" borderId="0" xfId="0" applyFont="1" applyFill="1" applyAlignment="1">
      <alignment vertical="top"/>
    </xf>
    <xf numFmtId="0" fontId="25" fillId="16" borderId="0" xfId="0" applyFont="1" applyFill="1" applyAlignment="1">
      <alignment vertical="top"/>
    </xf>
    <xf numFmtId="0" fontId="0" fillId="16" borderId="0" xfId="0" applyFill="1"/>
    <xf numFmtId="0" fontId="0" fillId="15" borderId="0" xfId="0" applyFill="1"/>
    <xf numFmtId="0" fontId="0" fillId="15" borderId="0" xfId="0" applyFont="1" applyFill="1"/>
    <xf numFmtId="0" fontId="0" fillId="16" borderId="0" xfId="0" applyFont="1" applyFill="1"/>
    <xf numFmtId="1" fontId="0" fillId="16" borderId="7" xfId="0" applyNumberFormat="1" applyFont="1" applyFill="1" applyBorder="1"/>
    <xf numFmtId="1" fontId="0" fillId="15" borderId="7" xfId="0" applyNumberFormat="1" applyFont="1" applyFill="1" applyBorder="1"/>
    <xf numFmtId="0" fontId="5" fillId="5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vertical="top" wrapText="1"/>
    </xf>
    <xf numFmtId="0" fontId="31" fillId="17" borderId="6" xfId="0" applyFont="1" applyFill="1" applyBorder="1" applyAlignment="1">
      <alignment vertical="top" wrapText="1"/>
    </xf>
    <xf numFmtId="0" fontId="31" fillId="17" borderId="6" xfId="0" applyFont="1" applyFill="1" applyBorder="1" applyAlignment="1">
      <alignment horizontal="center" vertical="top" wrapText="1"/>
    </xf>
    <xf numFmtId="0" fontId="31" fillId="17" borderId="6" xfId="0" applyFont="1" applyFill="1" applyBorder="1" applyAlignment="1">
      <alignment horizontal="right" vertical="top" wrapText="1"/>
    </xf>
    <xf numFmtId="0" fontId="31" fillId="17" borderId="5" xfId="0" applyFont="1" applyFill="1" applyBorder="1" applyAlignment="1">
      <alignment horizontal="center" vertical="top" wrapText="1"/>
    </xf>
    <xf numFmtId="0" fontId="31" fillId="0" borderId="14" xfId="0" applyFont="1" applyBorder="1" applyAlignment="1">
      <alignment vertical="top" wrapText="1"/>
    </xf>
    <xf numFmtId="0" fontId="31" fillId="0" borderId="6" xfId="0" applyFont="1" applyBorder="1" applyAlignment="1">
      <alignment horizontal="center" vertical="top" wrapText="1"/>
    </xf>
    <xf numFmtId="6" fontId="31" fillId="0" borderId="6" xfId="0" applyNumberFormat="1" applyFont="1" applyBorder="1" applyAlignment="1">
      <alignment horizontal="left" vertical="top" wrapText="1"/>
    </xf>
    <xf numFmtId="168" fontId="31" fillId="0" borderId="6" xfId="0" applyNumberFormat="1" applyFont="1" applyBorder="1" applyAlignment="1">
      <alignment horizontal="right" vertical="top" wrapText="1"/>
    </xf>
    <xf numFmtId="6" fontId="31" fillId="0" borderId="6" xfId="0" applyNumberFormat="1" applyFont="1" applyBorder="1" applyAlignment="1">
      <alignment vertical="top" wrapText="1"/>
    </xf>
    <xf numFmtId="169" fontId="31" fillId="0" borderId="6" xfId="0" applyNumberFormat="1" applyFont="1" applyBorder="1" applyAlignment="1">
      <alignment vertical="top" wrapText="1"/>
    </xf>
    <xf numFmtId="8" fontId="31" fillId="0" borderId="15" xfId="0" applyNumberFormat="1" applyFont="1" applyBorder="1" applyAlignment="1">
      <alignment vertical="top" wrapText="1"/>
    </xf>
    <xf numFmtId="8" fontId="32" fillId="0" borderId="22" xfId="0" applyNumberFormat="1" applyFont="1" applyBorder="1" applyAlignment="1">
      <alignment vertical="top" wrapText="1"/>
    </xf>
    <xf numFmtId="169" fontId="31" fillId="0" borderId="6" xfId="0" applyNumberFormat="1" applyFont="1" applyBorder="1" applyAlignment="1">
      <alignment horizontal="center" vertical="top" wrapText="1"/>
    </xf>
    <xf numFmtId="8" fontId="31" fillId="0" borderId="22" xfId="0" applyNumberFormat="1" applyFont="1" applyBorder="1" applyAlignment="1">
      <alignment vertical="top" wrapText="1"/>
    </xf>
    <xf numFmtId="8" fontId="31" fillId="0" borderId="5" xfId="0" applyNumberFormat="1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169" fontId="31" fillId="0" borderId="6" xfId="0" applyNumberFormat="1" applyFont="1" applyBorder="1" applyAlignment="1">
      <alignment horizontal="right" vertical="top" wrapText="1"/>
    </xf>
    <xf numFmtId="6" fontId="31" fillId="0" borderId="5" xfId="0" applyNumberFormat="1" applyFont="1" applyBorder="1" applyAlignment="1">
      <alignment vertical="top" wrapText="1"/>
    </xf>
    <xf numFmtId="0" fontId="31" fillId="18" borderId="14" xfId="0" applyFont="1" applyFill="1" applyBorder="1" applyAlignment="1">
      <alignment vertical="top" wrapText="1"/>
    </xf>
    <xf numFmtId="0" fontId="31" fillId="18" borderId="6" xfId="0" applyFont="1" applyFill="1" applyBorder="1" applyAlignment="1">
      <alignment vertical="top" wrapText="1"/>
    </xf>
    <xf numFmtId="6" fontId="31" fillId="18" borderId="6" xfId="0" applyNumberFormat="1" applyFont="1" applyFill="1" applyBorder="1" applyAlignment="1">
      <alignment horizontal="left" vertical="top" wrapText="1"/>
    </xf>
    <xf numFmtId="168" fontId="31" fillId="18" borderId="6" xfId="0" applyNumberFormat="1" applyFont="1" applyFill="1" applyBorder="1" applyAlignment="1">
      <alignment horizontal="right" vertical="top" wrapText="1"/>
    </xf>
    <xf numFmtId="6" fontId="32" fillId="18" borderId="22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5" fillId="8" borderId="22" xfId="0" applyFont="1" applyFill="1" applyBorder="1" applyAlignment="1">
      <alignment horizontal="center" wrapText="1"/>
    </xf>
    <xf numFmtId="0" fontId="5" fillId="8" borderId="16" xfId="0" applyFont="1" applyFill="1" applyBorder="1" applyAlignment="1">
      <alignment horizontal="center" wrapText="1"/>
    </xf>
    <xf numFmtId="40" fontId="10" fillId="0" borderId="0" xfId="0" applyNumberFormat="1" applyFont="1" applyAlignment="1">
      <alignment horizontal="center"/>
    </xf>
    <xf numFmtId="40" fontId="10" fillId="0" borderId="18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19" borderId="0" xfId="0" applyFont="1" applyFill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0" fontId="10" fillId="15" borderId="18" xfId="0" applyNumberFormat="1" applyFont="1" applyFill="1" applyBorder="1" applyAlignment="1">
      <alignment horizontal="center"/>
    </xf>
    <xf numFmtId="40" fontId="10" fillId="4" borderId="10" xfId="0" applyNumberFormat="1" applyFont="1" applyFill="1" applyBorder="1" applyAlignment="1">
      <alignment horizontal="center" vertical="center" wrapText="1"/>
    </xf>
    <xf numFmtId="40" fontId="10" fillId="4" borderId="26" xfId="0" applyNumberFormat="1" applyFont="1" applyFill="1" applyBorder="1" applyAlignment="1">
      <alignment horizontal="center" vertical="center" wrapText="1"/>
    </xf>
    <xf numFmtId="40" fontId="10" fillId="4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37" fillId="0" borderId="31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29" fillId="20" borderId="22" xfId="0" applyFont="1" applyFill="1" applyBorder="1" applyAlignment="1">
      <alignment vertical="top" wrapText="1"/>
    </xf>
    <xf numFmtId="0" fontId="29" fillId="20" borderId="32" xfId="0" applyFont="1" applyFill="1" applyBorder="1" applyAlignment="1">
      <alignment vertical="top" wrapText="1"/>
    </xf>
    <xf numFmtId="0" fontId="30" fillId="20" borderId="31" xfId="0" applyFont="1" applyFill="1" applyBorder="1" applyAlignment="1">
      <alignment vertical="top" wrapText="1"/>
    </xf>
    <xf numFmtId="0" fontId="29" fillId="17" borderId="31" xfId="0" applyFont="1" applyFill="1" applyBorder="1" applyAlignment="1">
      <alignment horizontal="center" vertical="top" wrapText="1"/>
    </xf>
    <xf numFmtId="0" fontId="33" fillId="0" borderId="3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84" xfId="20"/>
    <cellStyle name="Normal 2" xfId="21"/>
    <cellStyle name="Normal 180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9"/>
  <sheetViews>
    <sheetView workbookViewId="0" topLeftCell="A1">
      <pane xSplit="7" ySplit="11" topLeftCell="K12" activePane="bottomRight" state="frozen"/>
      <selection pane="topLeft" activeCell="V16" sqref="V16"/>
      <selection pane="topRight" activeCell="V16" sqref="V16"/>
      <selection pane="bottomLeft" activeCell="V16" sqref="V16"/>
      <selection pane="bottomRight" activeCell="A2" sqref="A2:H2"/>
    </sheetView>
  </sheetViews>
  <sheetFormatPr defaultColWidth="8.8515625" defaultRowHeight="15"/>
  <cols>
    <col min="1" max="1" width="9.140625" style="7" customWidth="1"/>
    <col min="2" max="2" width="7.421875" style="49" bestFit="1" customWidth="1"/>
    <col min="3" max="3" width="9.140625" style="49" customWidth="1"/>
    <col min="4" max="4" width="34.7109375" style="7" customWidth="1"/>
    <col min="5" max="5" width="8.8515625" style="7" customWidth="1"/>
    <col min="6" max="6" width="9.140625" style="7" customWidth="1"/>
    <col min="7" max="7" width="34.28125" style="7" bestFit="1" customWidth="1"/>
    <col min="8" max="8" width="9.140625" style="49" customWidth="1"/>
    <col min="9" max="9" width="11.28125" style="7" customWidth="1"/>
    <col min="10" max="10" width="11.8515625" style="7" customWidth="1"/>
    <col min="11" max="11" width="12.421875" style="7" bestFit="1" customWidth="1"/>
    <col min="12" max="12" width="12.421875" style="7" customWidth="1"/>
    <col min="13" max="13" width="12.421875" style="6" customWidth="1"/>
    <col min="14" max="14" width="10.28125" style="6" customWidth="1"/>
    <col min="15" max="15" width="11.421875" style="6" bestFit="1" customWidth="1"/>
    <col min="16" max="17" width="11.421875" style="7" bestFit="1" customWidth="1"/>
    <col min="18" max="18" width="15.00390625" style="7" customWidth="1"/>
    <col min="19" max="19" width="12.421875" style="36" bestFit="1" customWidth="1"/>
    <col min="20" max="20" width="14.8515625" style="7" bestFit="1" customWidth="1"/>
    <col min="21" max="21" width="15.00390625" style="7" customWidth="1"/>
    <col min="22" max="22" width="4.421875" style="7" customWidth="1"/>
    <col min="23" max="23" width="11.421875" style="7" bestFit="1" customWidth="1"/>
    <col min="24" max="24" width="11.28125" style="50" bestFit="1" customWidth="1"/>
    <col min="25" max="25" width="15.00390625" style="7" bestFit="1" customWidth="1"/>
    <col min="26" max="27" width="11.421875" style="7" bestFit="1" customWidth="1"/>
    <col min="28" max="28" width="10.421875" style="7" bestFit="1" customWidth="1"/>
    <col min="29" max="29" width="8.8515625" style="7" bestFit="1" customWidth="1"/>
    <col min="30" max="30" width="11.421875" style="7" bestFit="1" customWidth="1"/>
    <col min="31" max="31" width="4.421875" style="7" customWidth="1"/>
    <col min="32" max="32" width="11.421875" style="66" bestFit="1" customWidth="1"/>
    <col min="33" max="33" width="10.421875" style="36" bestFit="1" customWidth="1"/>
    <col min="34" max="34" width="11.421875" style="66" bestFit="1" customWidth="1"/>
    <col min="35" max="35" width="11.8515625" style="66" customWidth="1"/>
    <col min="36" max="36" width="15.28125" style="7" bestFit="1" customWidth="1"/>
    <col min="37" max="37" width="11.8515625" style="7" customWidth="1"/>
    <col min="38" max="38" width="16.421875" style="7" bestFit="1" customWidth="1"/>
    <col min="39" max="47" width="11.8515625" style="7" customWidth="1"/>
    <col min="48" max="48" width="8.8515625" style="7" customWidth="1"/>
    <col min="49" max="51" width="9.140625" style="7" customWidth="1"/>
    <col min="52" max="52" width="9.140625" style="37" customWidth="1"/>
    <col min="53" max="16384" width="8.8515625" style="7" customWidth="1"/>
  </cols>
  <sheetData>
    <row r="1" spans="1:51" ht="15.75">
      <c r="A1" s="217" t="s">
        <v>52</v>
      </c>
      <c r="B1" s="217"/>
      <c r="C1" s="217"/>
      <c r="D1" s="217"/>
      <c r="E1" s="217"/>
      <c r="F1" s="217"/>
      <c r="G1" s="217"/>
      <c r="H1" s="217"/>
      <c r="AA1" s="1"/>
      <c r="AB1" s="1"/>
      <c r="AF1" s="3"/>
      <c r="AG1" s="2"/>
      <c r="AH1" s="3"/>
      <c r="AI1" s="3"/>
      <c r="AK1" s="1"/>
      <c r="AL1" s="1"/>
      <c r="AM1" s="1"/>
      <c r="AN1" s="1"/>
      <c r="AO1" s="1"/>
      <c r="AP1" s="1"/>
      <c r="AQ1" s="1"/>
      <c r="AR1" s="1"/>
      <c r="AS1" s="4"/>
      <c r="AT1" s="4"/>
      <c r="AU1" s="4"/>
      <c r="AW1" s="36"/>
      <c r="AX1" s="36"/>
      <c r="AY1" s="36"/>
    </row>
    <row r="2" spans="1:51" ht="15.75">
      <c r="A2" s="224" t="s">
        <v>99</v>
      </c>
      <c r="B2" s="224"/>
      <c r="C2" s="224"/>
      <c r="D2" s="224"/>
      <c r="E2" s="224"/>
      <c r="F2" s="224"/>
      <c r="G2" s="224"/>
      <c r="H2" s="224"/>
      <c r="AA2" s="1"/>
      <c r="AB2" s="1"/>
      <c r="AF2" s="3"/>
      <c r="AG2" s="2"/>
      <c r="AH2" s="3"/>
      <c r="AI2" s="3"/>
      <c r="AK2" s="1"/>
      <c r="AL2" s="1"/>
      <c r="AM2" s="1"/>
      <c r="AN2" s="1"/>
      <c r="AO2" s="1"/>
      <c r="AP2" s="1"/>
      <c r="AQ2" s="1"/>
      <c r="AR2" s="1"/>
      <c r="AS2" s="4"/>
      <c r="AT2" s="4"/>
      <c r="AU2" s="4"/>
      <c r="AW2" s="36"/>
      <c r="AX2" s="36"/>
      <c r="AY2" s="36"/>
    </row>
    <row r="3" spans="1:51" ht="18.75">
      <c r="A3" s="225"/>
      <c r="B3" s="225"/>
      <c r="C3" s="225"/>
      <c r="D3" s="225"/>
      <c r="E3" s="225"/>
      <c r="F3" s="225"/>
      <c r="G3" s="225"/>
      <c r="H3" s="225"/>
      <c r="AA3" s="1"/>
      <c r="AB3" s="1"/>
      <c r="AF3" s="3"/>
      <c r="AG3" s="2"/>
      <c r="AH3" s="3"/>
      <c r="AI3" s="3"/>
      <c r="AK3" s="1"/>
      <c r="AL3" s="1"/>
      <c r="AM3" s="1"/>
      <c r="AN3" s="1"/>
      <c r="AO3" s="1"/>
      <c r="AP3" s="1"/>
      <c r="AQ3" s="1"/>
      <c r="AR3" s="1"/>
      <c r="AS3" s="40"/>
      <c r="AT3" s="40"/>
      <c r="AU3" s="40"/>
      <c r="AW3" s="36"/>
      <c r="AX3" s="36"/>
      <c r="AY3" s="36"/>
    </row>
    <row r="4" spans="1:51" ht="15.75">
      <c r="A4" s="41"/>
      <c r="B4" s="41"/>
      <c r="C4" s="41"/>
      <c r="D4" s="41"/>
      <c r="E4" s="41"/>
      <c r="F4" s="41"/>
      <c r="G4" s="41"/>
      <c r="H4" s="41"/>
      <c r="AA4" s="1"/>
      <c r="AB4" s="1"/>
      <c r="AF4" s="3"/>
      <c r="AG4" s="2"/>
      <c r="AH4" s="3"/>
      <c r="AI4" s="3"/>
      <c r="AK4" s="1"/>
      <c r="AL4" s="1"/>
      <c r="AM4" s="1"/>
      <c r="AN4" s="1"/>
      <c r="AO4" s="1"/>
      <c r="AP4" s="1"/>
      <c r="AQ4" s="1"/>
      <c r="AR4" s="1"/>
      <c r="AS4" s="40"/>
      <c r="AT4" s="40"/>
      <c r="AU4" s="40"/>
      <c r="AW4" s="36"/>
      <c r="AX4" s="36"/>
      <c r="AY4" s="36"/>
    </row>
    <row r="5" spans="1:51" ht="16.5" thickBot="1">
      <c r="A5" s="30"/>
      <c r="B5" s="46"/>
      <c r="C5" s="46"/>
      <c r="D5" s="1"/>
      <c r="E5" s="1"/>
      <c r="F5" s="1"/>
      <c r="G5" s="1"/>
      <c r="H5" s="46"/>
      <c r="I5" s="1"/>
      <c r="J5" s="4"/>
      <c r="K5" s="4"/>
      <c r="L5" s="4"/>
      <c r="M5" s="10"/>
      <c r="N5" s="10"/>
      <c r="O5" s="10"/>
      <c r="P5" s="4"/>
      <c r="Q5" s="1"/>
      <c r="R5" s="1"/>
      <c r="S5" s="2"/>
      <c r="T5" s="1"/>
      <c r="U5" s="1"/>
      <c r="V5" s="1"/>
      <c r="W5" s="1"/>
      <c r="X5" s="33"/>
      <c r="Y5" s="1"/>
      <c r="Z5" s="1"/>
      <c r="AA5" s="1"/>
      <c r="AF5" s="7"/>
      <c r="AG5" s="7"/>
      <c r="AH5" s="7"/>
      <c r="AI5" s="7"/>
      <c r="AW5" s="36"/>
      <c r="AX5" s="36"/>
      <c r="AY5" s="36"/>
    </row>
    <row r="6" spans="7:52" ht="15.75" customHeight="1" thickBot="1">
      <c r="G6" s="218" t="s">
        <v>80</v>
      </c>
      <c r="H6" s="219"/>
      <c r="I6" s="86" t="s">
        <v>98</v>
      </c>
      <c r="J6" s="92" t="s">
        <v>100</v>
      </c>
      <c r="K6" s="4"/>
      <c r="L6" s="10"/>
      <c r="M6" s="10"/>
      <c r="N6" s="10"/>
      <c r="O6" s="4"/>
      <c r="P6" s="1"/>
      <c r="Q6" s="1"/>
      <c r="R6" s="2"/>
      <c r="S6" s="1"/>
      <c r="T6" s="1"/>
      <c r="U6" s="1"/>
      <c r="V6" s="1"/>
      <c r="W6" s="33"/>
      <c r="X6" s="1"/>
      <c r="Y6" s="1"/>
      <c r="Z6" s="1"/>
      <c r="AB6"/>
      <c r="AC6"/>
      <c r="AD6"/>
      <c r="AF6" s="7"/>
      <c r="AG6" s="7"/>
      <c r="AH6" s="7"/>
      <c r="AI6" s="7"/>
      <c r="AV6" s="36"/>
      <c r="AW6" s="36"/>
      <c r="AX6" s="36"/>
      <c r="AY6" s="37"/>
      <c r="AZ6" s="7"/>
    </row>
    <row r="7" spans="9:51" ht="16.5" thickBot="1">
      <c r="I7" s="1"/>
      <c r="J7" s="4"/>
      <c r="K7"/>
      <c r="L7" s="4"/>
      <c r="M7" s="10"/>
      <c r="N7" s="10"/>
      <c r="O7" s="10"/>
      <c r="P7" s="4"/>
      <c r="Q7" s="1"/>
      <c r="R7" s="1"/>
      <c r="S7" s="2"/>
      <c r="T7" s="1"/>
      <c r="U7" s="1"/>
      <c r="V7" s="1"/>
      <c r="W7" s="1"/>
      <c r="X7" s="33"/>
      <c r="Y7" s="1"/>
      <c r="Z7" s="1"/>
      <c r="AA7" s="1"/>
      <c r="AC7"/>
      <c r="AD7"/>
      <c r="AE7"/>
      <c r="AF7" s="7"/>
      <c r="AG7" s="7"/>
      <c r="AH7" s="7"/>
      <c r="AI7" s="7"/>
      <c r="AW7" s="36"/>
      <c r="AX7" s="36"/>
      <c r="AY7" s="36"/>
    </row>
    <row r="8" spans="7:51" ht="15" customHeight="1" thickBot="1">
      <c r="G8" s="235" t="s">
        <v>79</v>
      </c>
      <c r="H8" s="236"/>
      <c r="I8" s="85">
        <v>25</v>
      </c>
      <c r="J8" s="92" t="s">
        <v>81</v>
      </c>
      <c r="K8"/>
      <c r="P8" s="231"/>
      <c r="Q8" s="231"/>
      <c r="R8" s="231"/>
      <c r="S8" s="231"/>
      <c r="T8" s="231"/>
      <c r="U8" s="231"/>
      <c r="V8"/>
      <c r="W8" s="230"/>
      <c r="X8" s="230"/>
      <c r="Y8" s="230"/>
      <c r="Z8" s="230"/>
      <c r="AA8" s="230"/>
      <c r="AB8" s="230"/>
      <c r="AC8" s="230"/>
      <c r="AD8" s="230"/>
      <c r="AE8"/>
      <c r="AF8" s="241" t="s">
        <v>2</v>
      </c>
      <c r="AG8" s="241"/>
      <c r="AH8" s="241"/>
      <c r="AI8" s="241"/>
      <c r="AJ8" s="13" t="s">
        <v>3</v>
      </c>
      <c r="AK8" s="220"/>
      <c r="AL8" s="14" t="s">
        <v>4</v>
      </c>
      <c r="AW8" s="36"/>
      <c r="AX8" s="36"/>
      <c r="AY8" s="36"/>
    </row>
    <row r="9" spans="1:52" s="68" customFormat="1" ht="33" customHeight="1" thickBo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232" t="s">
        <v>5</v>
      </c>
      <c r="Q9" s="233"/>
      <c r="R9" s="233"/>
      <c r="S9" s="233"/>
      <c r="T9" s="234"/>
      <c r="U9" s="69"/>
      <c r="V9" s="110"/>
      <c r="W9" s="226"/>
      <c r="X9" s="227"/>
      <c r="Y9" s="126">
        <v>0.2</v>
      </c>
      <c r="Z9" s="130">
        <v>0.5</v>
      </c>
      <c r="AA9" s="128">
        <v>0.3</v>
      </c>
      <c r="AB9" s="222"/>
      <c r="AC9" s="223"/>
      <c r="AD9" s="223"/>
      <c r="AE9" s="110"/>
      <c r="AF9" s="242" t="s">
        <v>6</v>
      </c>
      <c r="AG9" s="243"/>
      <c r="AH9" s="244"/>
      <c r="AI9" s="242" t="s">
        <v>7</v>
      </c>
      <c r="AJ9" s="244"/>
      <c r="AK9" s="221"/>
      <c r="AL9" s="70" t="s">
        <v>8</v>
      </c>
      <c r="AW9" s="71"/>
      <c r="AX9" s="71"/>
      <c r="AY9" s="71"/>
      <c r="AZ9" s="72"/>
    </row>
    <row r="10" spans="1:50" s="6" customFormat="1" ht="50.1" customHeight="1" thickBo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74" t="s">
        <v>14</v>
      </c>
      <c r="G10" s="91" t="s">
        <v>96</v>
      </c>
      <c r="H10" s="89" t="s">
        <v>16</v>
      </c>
      <c r="I10" s="16" t="s">
        <v>1</v>
      </c>
      <c r="J10" s="16" t="s">
        <v>66</v>
      </c>
      <c r="K10" s="74" t="s">
        <v>67</v>
      </c>
      <c r="L10" s="138" t="s">
        <v>68</v>
      </c>
      <c r="M10" s="137" t="s">
        <v>17</v>
      </c>
      <c r="N10" s="51" t="s">
        <v>69</v>
      </c>
      <c r="O10" s="51" t="s">
        <v>70</v>
      </c>
      <c r="P10" s="73" t="s">
        <v>18</v>
      </c>
      <c r="Q10" s="73" t="s">
        <v>19</v>
      </c>
      <c r="R10" s="73" t="s">
        <v>20</v>
      </c>
      <c r="S10" s="18" t="s">
        <v>21</v>
      </c>
      <c r="T10" s="18" t="s">
        <v>22</v>
      </c>
      <c r="U10" s="19" t="s">
        <v>23</v>
      </c>
      <c r="V10" s="110"/>
      <c r="W10" s="20" t="s">
        <v>24</v>
      </c>
      <c r="X10" s="21" t="s">
        <v>25</v>
      </c>
      <c r="Y10" s="127" t="s">
        <v>26</v>
      </c>
      <c r="Z10" s="131" t="s">
        <v>27</v>
      </c>
      <c r="AA10" s="129" t="s">
        <v>4</v>
      </c>
      <c r="AB10" s="20" t="s">
        <v>28</v>
      </c>
      <c r="AC10" s="22" t="s">
        <v>29</v>
      </c>
      <c r="AD10" s="23" t="s">
        <v>30</v>
      </c>
      <c r="AE10" s="110"/>
      <c r="AF10" s="17" t="s">
        <v>18</v>
      </c>
      <c r="AG10" s="17" t="s">
        <v>19</v>
      </c>
      <c r="AH10" s="17" t="s">
        <v>20</v>
      </c>
      <c r="AI10" s="17" t="s">
        <v>21</v>
      </c>
      <c r="AJ10" s="17" t="s">
        <v>31</v>
      </c>
      <c r="AK10" s="17" t="s">
        <v>22</v>
      </c>
      <c r="AL10" s="17" t="s">
        <v>32</v>
      </c>
      <c r="AU10" s="240"/>
      <c r="AV10" s="240"/>
      <c r="AW10" s="240"/>
      <c r="AX10" s="240"/>
    </row>
    <row r="11" spans="1:50" s="9" customFormat="1" ht="15" customHeight="1" thickBot="1">
      <c r="A11" s="52"/>
      <c r="B11" s="67"/>
      <c r="C11" s="53"/>
      <c r="D11" s="52"/>
      <c r="E11" s="52"/>
      <c r="F11" s="87"/>
      <c r="G11" s="90"/>
      <c r="H11" s="88"/>
      <c r="I11" s="52">
        <f>SUM(I12:I17)</f>
        <v>150</v>
      </c>
      <c r="J11" s="52">
        <f>SUM(J12:J13)</f>
        <v>0</v>
      </c>
      <c r="K11" s="94">
        <f>SUM(K12:K17)</f>
        <v>110754</v>
      </c>
      <c r="L11" s="55"/>
      <c r="M11" s="54"/>
      <c r="N11" s="54"/>
      <c r="O11" s="54"/>
      <c r="P11" s="93" t="e">
        <f aca="true" t="shared" si="0" ref="P11:U11">SUM(P12:P17)</f>
        <v>#N/A</v>
      </c>
      <c r="Q11" s="93" t="e">
        <f t="shared" si="0"/>
        <v>#N/A</v>
      </c>
      <c r="R11" s="93" t="e">
        <f t="shared" si="0"/>
        <v>#N/A</v>
      </c>
      <c r="S11" s="93">
        <f t="shared" si="0"/>
        <v>0</v>
      </c>
      <c r="T11" s="93" t="e">
        <f t="shared" si="0"/>
        <v>#N/A</v>
      </c>
      <c r="U11" s="94" t="e">
        <f t="shared" si="0"/>
        <v>#N/A</v>
      </c>
      <c r="V11"/>
      <c r="W11" s="24">
        <f>SUM(W12:W17)</f>
        <v>150</v>
      </c>
      <c r="X11" s="25">
        <f>W11/I11</f>
        <v>1</v>
      </c>
      <c r="Y11" s="97" t="e">
        <f>SUM(Y12:Y17)</f>
        <v>#N/A</v>
      </c>
      <c r="Z11" s="132" t="e">
        <f>SUM(Z12:Z17)</f>
        <v>#N/A</v>
      </c>
      <c r="AA11" s="97" t="e">
        <f>SUM(AA12:AA17)</f>
        <v>#N/A</v>
      </c>
      <c r="AB11" s="24">
        <f>SUM(AB12:AB17)</f>
        <v>0</v>
      </c>
      <c r="AC11" s="25">
        <f>AB11/I11</f>
        <v>0</v>
      </c>
      <c r="AD11" s="94" t="e">
        <f>SUM(AD12:AD17)</f>
        <v>#N/A</v>
      </c>
      <c r="AE11"/>
      <c r="AF11" s="93" t="e">
        <f>SUM(AF12:AF17)</f>
        <v>#N/A</v>
      </c>
      <c r="AG11" s="93" t="e">
        <f>SUM(AG12:AG17)</f>
        <v>#N/A</v>
      </c>
      <c r="AH11" s="93" t="e">
        <f>SUM(AH12:AH17)</f>
        <v>#N/A</v>
      </c>
      <c r="AI11" s="93">
        <f aca="true" t="shared" si="1" ref="AI11:AJ11">SUM(AI12:AI17)</f>
        <v>0</v>
      </c>
      <c r="AJ11" s="93">
        <f t="shared" si="1"/>
        <v>0</v>
      </c>
      <c r="AK11" s="93" t="e">
        <f>SUM(AK12:AK17)</f>
        <v>#N/A</v>
      </c>
      <c r="AL11" s="93" t="e">
        <f>SUM(AL12:AL17)</f>
        <v>#N/A</v>
      </c>
      <c r="AM11" s="7"/>
      <c r="AN11" s="7"/>
      <c r="AO11" s="7"/>
      <c r="AP11" s="7"/>
      <c r="AQ11" s="7"/>
      <c r="AR11" s="7"/>
      <c r="AS11" s="7"/>
      <c r="AX11" s="11"/>
    </row>
    <row r="12" spans="1:38" s="29" customFormat="1" ht="15">
      <c r="A12" s="26" t="s">
        <v>33</v>
      </c>
      <c r="B12" s="8">
        <v>1023</v>
      </c>
      <c r="C12" s="7" t="s">
        <v>34</v>
      </c>
      <c r="D12" s="29" t="s">
        <v>38</v>
      </c>
      <c r="E12" s="7" t="s">
        <v>0</v>
      </c>
      <c r="F12" t="s">
        <v>36</v>
      </c>
      <c r="G12" s="75" t="s">
        <v>73</v>
      </c>
      <c r="H12" s="5">
        <v>3</v>
      </c>
      <c r="I12" s="29">
        <f aca="true" t="shared" si="2" ref="I12:I17">$I$8</f>
        <v>25</v>
      </c>
      <c r="K12" s="100">
        <f>IF(E12="UGRD",H12*I12*Table!$H$7,IF(E12="GRAD",H12*I12*Table!$H$8))</f>
        <v>18459</v>
      </c>
      <c r="L12" s="139" t="s">
        <v>47</v>
      </c>
      <c r="N12" s="29" t="e">
        <f>VLOOKUP(G12,Table!$A$1:D22,3,FALSE)</f>
        <v>#N/A</v>
      </c>
      <c r="O12" s="101" t="e">
        <f>VLOOKUP(G12,Table!$A$1:C22,2,FALSE)</f>
        <v>#N/A</v>
      </c>
      <c r="P12" s="95" t="e">
        <f>IF(O12="A1","$4,000.00",(IF(O12="A2","$5,000.00",(IF(O12="A3","$5,000.00",(IF(L12="TTIN",H12*O12*0.025,IF(L12="TTIR",H12*O12*0.025,(IF(L12="O",H12*O12*0.025,(IF(L12="CIN",H12*O12*0.025,(IF(L12="CIR",H12*O12*0.025,(IF(L12="IR",H12*O12*0.025,(IF(L12="IN",H12*O12*0.025,(IF(L12="GA",H12*O12*0.025,(IF(L12="CISP",H12*O12*0.04))))))))))))))))))))))</f>
        <v>#N/A</v>
      </c>
      <c r="Q12" s="95" t="e">
        <f>IF(N12=1,P12*Table!$H$1,IF(N12=2,P12*Table!$H$6,IF(N12=3,P12*Table!$H$2,IF(N12=4,P12*Table!$H$4,IF(N12=5,P12*Table!$H$3,)))))</f>
        <v>#N/A</v>
      </c>
      <c r="R12" s="95" t="e">
        <f aca="true" t="shared" si="3" ref="R12:R17">P12+Q12</f>
        <v>#N/A</v>
      </c>
      <c r="S12" s="95"/>
      <c r="T12" s="95" t="e">
        <f aca="true" t="shared" si="4" ref="T12:T17">R12+S12</f>
        <v>#N/A</v>
      </c>
      <c r="U12" s="96" t="e">
        <f aca="true" t="shared" si="5" ref="U12:U17">K12-T12</f>
        <v>#N/A</v>
      </c>
      <c r="V12"/>
      <c r="W12" s="15">
        <f aca="true" t="shared" si="6" ref="W12:W17">IF($I$6="O",I12,(IF($I$6="B",I12/2,)))</f>
        <v>25</v>
      </c>
      <c r="X12" s="27">
        <f>W12/I12</f>
        <v>1</v>
      </c>
      <c r="Y12" s="98" t="e">
        <f aca="true" t="shared" si="7" ref="Y12:Y17">(X12*U12)*$Y$9</f>
        <v>#N/A</v>
      </c>
      <c r="Z12" s="133" t="e">
        <f aca="true" t="shared" si="8" ref="Z12:Z17">(X12*U12)*$Z$9</f>
        <v>#N/A</v>
      </c>
      <c r="AA12" s="98" t="e">
        <f aca="true" t="shared" si="9" ref="AA12:AA17">(X12*U12)*$AA$9</f>
        <v>#N/A</v>
      </c>
      <c r="AB12" s="12">
        <f>I12-W12</f>
        <v>0</v>
      </c>
      <c r="AC12" s="27">
        <f>AB12/I12</f>
        <v>0</v>
      </c>
      <c r="AD12" s="96" t="e">
        <f aca="true" t="shared" si="10" ref="AD12">U12*AC12</f>
        <v>#N/A</v>
      </c>
      <c r="AE12"/>
      <c r="AF12" s="99" t="e">
        <f aca="true" t="shared" si="11" ref="AF12:AF17">IF(L12="TTIN","0.00",(IF(L12="CIN","0.00",(IF(L12="IN","0.00",P12)))))</f>
        <v>#N/A</v>
      </c>
      <c r="AG12" s="99" t="e">
        <f aca="true" t="shared" si="12" ref="AG12:AG17">IF(L12="TTIN","0.00",(IF(L12="CIN","0.00",(IF(L12="IN","0.00",Q12)))))</f>
        <v>#N/A</v>
      </c>
      <c r="AH12" s="99" t="e">
        <f aca="true" t="shared" si="13" ref="AH12:AH17">IF(L12="TTIN","0.00",(IF(L12="CIN","0.00",(IF(L12="IN","0.00",R12)))))</f>
        <v>#N/A</v>
      </c>
      <c r="AI12" s="95"/>
      <c r="AJ12" s="95"/>
      <c r="AK12" s="95" t="e">
        <f aca="true" t="shared" si="14" ref="AK12:AK17">AH12+AI12+AJ12</f>
        <v>#N/A</v>
      </c>
      <c r="AL12" s="95" t="e">
        <f aca="true" t="shared" si="15" ref="AL12">T12-AK12</f>
        <v>#N/A</v>
      </c>
    </row>
    <row r="13" spans="1:38" s="29" customFormat="1" ht="15">
      <c r="A13" s="26" t="s">
        <v>33</v>
      </c>
      <c r="B13" s="8">
        <v>1033</v>
      </c>
      <c r="C13" s="7" t="s">
        <v>34</v>
      </c>
      <c r="D13" s="29" t="s">
        <v>37</v>
      </c>
      <c r="E13" s="7" t="s">
        <v>0</v>
      </c>
      <c r="F13" t="s">
        <v>36</v>
      </c>
      <c r="G13" s="75" t="s">
        <v>73</v>
      </c>
      <c r="H13" s="5">
        <v>3</v>
      </c>
      <c r="I13" s="29">
        <f t="shared" si="2"/>
        <v>25</v>
      </c>
      <c r="K13" s="100">
        <f>IF(E13="UGRD",H13*I13*Table!$H$7,IF(E13="GRAD",H13*I13*Table!$H$8))</f>
        <v>18459</v>
      </c>
      <c r="L13" s="140" t="s">
        <v>47</v>
      </c>
      <c r="N13" s="29" t="e">
        <f>VLOOKUP(G13,Table!$A$1:D22,3,FALSE)</f>
        <v>#N/A</v>
      </c>
      <c r="O13" s="101" t="e">
        <f>VLOOKUP(G13,Table!$A$1:C22,2,FALSE)</f>
        <v>#N/A</v>
      </c>
      <c r="P13" s="95" t="e">
        <f>IF(O13="A1","$4,000.00",(IF(O13="A2","$5,000.00",(IF(O13="A3","$5,000.00",(IF(L13="TTIN",H13*O13*0.025,IF(L13="TTIR",H13*O13*0.025,(IF(L13="O",H13*O13*0.025,(IF(L13="CIN",H13*O13*0.025,(IF(L13="CIR",H13*O13*0.025,(IF(L13="IR",H13*O13*0.025,(IF(L13="IN",H13*O13*0.025,(IF(L13="GA",H13*O13*0.025,(IF(L13="CISP",H13*O13*0.04))))))))))))))))))))))</f>
        <v>#N/A</v>
      </c>
      <c r="Q13" s="95" t="e">
        <f>IF(N13=1,P13*Table!$H$1,IF(N13=2,P13*Table!$H$6,IF(N13=3,P13*Table!$H$2,IF(N13=4,P13*Table!$H$4,IF(N13=5,P13*Table!$H$3,)))))</f>
        <v>#N/A</v>
      </c>
      <c r="R13" s="95" t="e">
        <f t="shared" si="3"/>
        <v>#N/A</v>
      </c>
      <c r="S13" s="95"/>
      <c r="T13" s="95" t="e">
        <f t="shared" si="4"/>
        <v>#N/A</v>
      </c>
      <c r="U13" s="96" t="e">
        <f t="shared" si="5"/>
        <v>#N/A</v>
      </c>
      <c r="V13"/>
      <c r="W13" s="15">
        <f t="shared" si="6"/>
        <v>25</v>
      </c>
      <c r="X13" s="27">
        <f aca="true" t="shared" si="16" ref="X13:X17">W13/I13</f>
        <v>1</v>
      </c>
      <c r="Y13" s="98" t="e">
        <f t="shared" si="7"/>
        <v>#N/A</v>
      </c>
      <c r="Z13" s="133" t="e">
        <f t="shared" si="8"/>
        <v>#N/A</v>
      </c>
      <c r="AA13" s="98" t="e">
        <f t="shared" si="9"/>
        <v>#N/A</v>
      </c>
      <c r="AB13" s="12">
        <f aca="true" t="shared" si="17" ref="AB13:AB17">I13-W13</f>
        <v>0</v>
      </c>
      <c r="AC13" s="27">
        <f aca="true" t="shared" si="18" ref="AC13:AC17">AB13/I13</f>
        <v>0</v>
      </c>
      <c r="AD13" s="96" t="e">
        <f>U13*AC13</f>
        <v>#N/A</v>
      </c>
      <c r="AE13"/>
      <c r="AF13" s="99" t="e">
        <f t="shared" si="11"/>
        <v>#N/A</v>
      </c>
      <c r="AG13" s="99" t="e">
        <f t="shared" si="12"/>
        <v>#N/A</v>
      </c>
      <c r="AH13" s="99" t="e">
        <f t="shared" si="13"/>
        <v>#N/A</v>
      </c>
      <c r="AI13" s="95"/>
      <c r="AJ13" s="95"/>
      <c r="AK13" s="95" t="e">
        <f t="shared" si="14"/>
        <v>#N/A</v>
      </c>
      <c r="AL13" s="95" t="e">
        <f>T13-AK13</f>
        <v>#N/A</v>
      </c>
    </row>
    <row r="14" spans="1:38" s="29" customFormat="1" ht="15">
      <c r="A14" s="26" t="s">
        <v>33</v>
      </c>
      <c r="B14" s="8">
        <v>2003</v>
      </c>
      <c r="C14" s="7" t="s">
        <v>34</v>
      </c>
      <c r="D14" s="29" t="s">
        <v>39</v>
      </c>
      <c r="E14" s="7" t="s">
        <v>0</v>
      </c>
      <c r="F14" t="s">
        <v>36</v>
      </c>
      <c r="G14" s="75" t="s">
        <v>73</v>
      </c>
      <c r="H14" s="5">
        <v>3</v>
      </c>
      <c r="I14" s="29">
        <f t="shared" si="2"/>
        <v>25</v>
      </c>
      <c r="K14" s="100">
        <f>IF(E14="UGRD",H14*I14*Table!$H$7,IF(E14="GRAD",H14*I14*Table!$H$8))</f>
        <v>18459</v>
      </c>
      <c r="L14" s="140" t="s">
        <v>47</v>
      </c>
      <c r="N14" s="29" t="e">
        <f>VLOOKUP(G14,Table!$A$1:D22,3,FALSE)</f>
        <v>#N/A</v>
      </c>
      <c r="O14" s="101" t="e">
        <f>VLOOKUP(G14,Table!$A$1:C22,2,FALSE)</f>
        <v>#N/A</v>
      </c>
      <c r="P14" s="95" t="e">
        <f aca="true" t="shared" si="19" ref="P14:P17">IF(O14="A1","$4,000.00",(IF(O14="A2","$5,000.00",(IF(O14="A3","$5,000.00",(IF(L14="TTIN",H14*O14*0.025,IF(L14="TTIR",H14*O14*0.025,(IF(L14="O",H14*O14*0.025,(IF(L14="CIN",H14*O14*0.025,(IF(L14="CIR",H14*O14*0.025,(IF(L14="IR",H14*O14*0.025,(IF(L14="IN",H14*O14*0.025,(IF(L14="GA",H14*O14*0.025,(IF(L14="CISP",H14*O14*0.04))))))))))))))))))))))</f>
        <v>#N/A</v>
      </c>
      <c r="Q14" s="95" t="e">
        <f>IF(N14=1,P14*Table!$H$1,IF(N14=2,P14*Table!$H$6,IF(N14=3,P14*Table!$H$2,IF(N14=4,P14*Table!$H$4,IF(N14=5,P14*Table!$H$3,)))))</f>
        <v>#N/A</v>
      </c>
      <c r="R14" s="95" t="e">
        <f t="shared" si="3"/>
        <v>#N/A</v>
      </c>
      <c r="S14" s="95"/>
      <c r="T14" s="95" t="e">
        <f t="shared" si="4"/>
        <v>#N/A</v>
      </c>
      <c r="U14" s="96" t="e">
        <f t="shared" si="5"/>
        <v>#N/A</v>
      </c>
      <c r="V14"/>
      <c r="W14" s="15">
        <f t="shared" si="6"/>
        <v>25</v>
      </c>
      <c r="X14" s="27">
        <f t="shared" si="16"/>
        <v>1</v>
      </c>
      <c r="Y14" s="98" t="e">
        <f t="shared" si="7"/>
        <v>#N/A</v>
      </c>
      <c r="Z14" s="133" t="e">
        <f t="shared" si="8"/>
        <v>#N/A</v>
      </c>
      <c r="AA14" s="98" t="e">
        <f t="shared" si="9"/>
        <v>#N/A</v>
      </c>
      <c r="AB14" s="12">
        <f t="shared" si="17"/>
        <v>0</v>
      </c>
      <c r="AC14" s="27">
        <f t="shared" si="18"/>
        <v>0</v>
      </c>
      <c r="AD14" s="96" t="e">
        <f>U14*AC14</f>
        <v>#N/A</v>
      </c>
      <c r="AE14"/>
      <c r="AF14" s="99" t="e">
        <f t="shared" si="11"/>
        <v>#N/A</v>
      </c>
      <c r="AG14" s="99" t="e">
        <f t="shared" si="12"/>
        <v>#N/A</v>
      </c>
      <c r="AH14" s="99" t="e">
        <f t="shared" si="13"/>
        <v>#N/A</v>
      </c>
      <c r="AI14" s="95"/>
      <c r="AJ14" s="95"/>
      <c r="AK14" s="95" t="e">
        <f t="shared" si="14"/>
        <v>#N/A</v>
      </c>
      <c r="AL14" s="95" t="e">
        <f>T14-AK14</f>
        <v>#N/A</v>
      </c>
    </row>
    <row r="15" spans="1:38" s="29" customFormat="1" ht="15">
      <c r="A15" s="26" t="s">
        <v>33</v>
      </c>
      <c r="B15" s="8">
        <v>2053</v>
      </c>
      <c r="C15" s="7" t="s">
        <v>34</v>
      </c>
      <c r="D15" s="29" t="s">
        <v>40</v>
      </c>
      <c r="E15" s="7" t="s">
        <v>0</v>
      </c>
      <c r="F15" t="s">
        <v>36</v>
      </c>
      <c r="G15" s="75" t="s">
        <v>43</v>
      </c>
      <c r="H15" s="5">
        <v>3</v>
      </c>
      <c r="I15" s="29">
        <f t="shared" si="2"/>
        <v>25</v>
      </c>
      <c r="K15" s="100">
        <f>IF(E15="UGRD",H15*I15*Table!$H$7,IF(E15="GRAD",H15*I15*Table!$H$8))</f>
        <v>18459</v>
      </c>
      <c r="L15" s="140" t="s">
        <v>74</v>
      </c>
      <c r="N15" s="29" t="e">
        <f>VLOOKUP(G15,Table!$A$1:D22,3,FALSE)</f>
        <v>#N/A</v>
      </c>
      <c r="O15" s="101" t="e">
        <f>VLOOKUP(G15,Table!$A$1:C22,2,FALSE)</f>
        <v>#N/A</v>
      </c>
      <c r="P15" s="95" t="e">
        <f t="shared" si="19"/>
        <v>#N/A</v>
      </c>
      <c r="Q15" s="95" t="e">
        <f>IF(N15=1,P15*Table!$H$1,IF(N15=2,P15*Table!$H$6,IF(N15=3,P15*Table!$H$2,IF(N15=4,P15*Table!$H$4,IF(N15=5,P15*Table!$H$3,)))))</f>
        <v>#N/A</v>
      </c>
      <c r="R15" s="95" t="e">
        <f t="shared" si="3"/>
        <v>#N/A</v>
      </c>
      <c r="S15" s="95"/>
      <c r="T15" s="95" t="e">
        <f t="shared" si="4"/>
        <v>#N/A</v>
      </c>
      <c r="U15" s="96" t="e">
        <f t="shared" si="5"/>
        <v>#N/A</v>
      </c>
      <c r="V15"/>
      <c r="W15" s="15">
        <f t="shared" si="6"/>
        <v>25</v>
      </c>
      <c r="X15" s="27">
        <f t="shared" si="16"/>
        <v>1</v>
      </c>
      <c r="Y15" s="98" t="e">
        <f t="shared" si="7"/>
        <v>#N/A</v>
      </c>
      <c r="Z15" s="133" t="e">
        <f t="shared" si="8"/>
        <v>#N/A</v>
      </c>
      <c r="AA15" s="98" t="e">
        <f t="shared" si="9"/>
        <v>#N/A</v>
      </c>
      <c r="AB15" s="12">
        <f t="shared" si="17"/>
        <v>0</v>
      </c>
      <c r="AC15" s="27">
        <f t="shared" si="18"/>
        <v>0</v>
      </c>
      <c r="AD15" s="96" t="e">
        <f>U15*AC15</f>
        <v>#N/A</v>
      </c>
      <c r="AE15"/>
      <c r="AF15" s="99" t="e">
        <f t="shared" si="11"/>
        <v>#N/A</v>
      </c>
      <c r="AG15" s="99" t="e">
        <f t="shared" si="12"/>
        <v>#N/A</v>
      </c>
      <c r="AH15" s="99" t="e">
        <f t="shared" si="13"/>
        <v>#N/A</v>
      </c>
      <c r="AI15" s="95"/>
      <c r="AJ15" s="95"/>
      <c r="AK15" s="95" t="e">
        <f t="shared" si="14"/>
        <v>#N/A</v>
      </c>
      <c r="AL15" s="95" t="e">
        <f>T15-AK15</f>
        <v>#N/A</v>
      </c>
    </row>
    <row r="16" spans="1:38" s="29" customFormat="1" ht="15">
      <c r="A16" s="26" t="s">
        <v>33</v>
      </c>
      <c r="B16" s="8">
        <v>3633</v>
      </c>
      <c r="C16" s="7" t="s">
        <v>34</v>
      </c>
      <c r="D16" s="29" t="s">
        <v>35</v>
      </c>
      <c r="E16" s="7" t="s">
        <v>0</v>
      </c>
      <c r="F16" t="s">
        <v>36</v>
      </c>
      <c r="G16" s="75" t="s">
        <v>73</v>
      </c>
      <c r="H16" s="5">
        <v>3</v>
      </c>
      <c r="I16" s="29">
        <f t="shared" si="2"/>
        <v>25</v>
      </c>
      <c r="K16" s="100">
        <f>IF(E16="UGRD",H16*I16*Table!$H$7,IF(E16="GRAD",H16*I16*Table!$H$8))</f>
        <v>18459</v>
      </c>
      <c r="L16" s="140" t="s">
        <v>47</v>
      </c>
      <c r="N16" s="29" t="e">
        <f>VLOOKUP(G16,Table!$A$1:D25,3,FALSE)</f>
        <v>#N/A</v>
      </c>
      <c r="O16" s="101" t="e">
        <f>VLOOKUP(G16,Table!$A$1:C25,2,FALSE)</f>
        <v>#N/A</v>
      </c>
      <c r="P16" s="95" t="e">
        <f t="shared" si="19"/>
        <v>#N/A</v>
      </c>
      <c r="Q16" s="95" t="e">
        <f>IF(N16=1,P16*Table!$H$1,IF(N16=2,P16*Table!$H$6,IF(N16=3,P16*Table!$H$2,IF(N16=4,P16*Table!$H$4,IF(N16=5,P16*Table!$H$3,)))))</f>
        <v>#N/A</v>
      </c>
      <c r="R16" s="95" t="e">
        <f t="shared" si="3"/>
        <v>#N/A</v>
      </c>
      <c r="S16" s="95"/>
      <c r="T16" s="95" t="e">
        <f t="shared" si="4"/>
        <v>#N/A</v>
      </c>
      <c r="U16" s="96" t="e">
        <f t="shared" si="5"/>
        <v>#N/A</v>
      </c>
      <c r="V16"/>
      <c r="W16" s="15">
        <f t="shared" si="6"/>
        <v>25</v>
      </c>
      <c r="X16" s="27">
        <f t="shared" si="16"/>
        <v>1</v>
      </c>
      <c r="Y16" s="98" t="e">
        <f t="shared" si="7"/>
        <v>#N/A</v>
      </c>
      <c r="Z16" s="133" t="e">
        <f t="shared" si="8"/>
        <v>#N/A</v>
      </c>
      <c r="AA16" s="98" t="e">
        <f t="shared" si="9"/>
        <v>#N/A</v>
      </c>
      <c r="AB16" s="12">
        <f t="shared" si="17"/>
        <v>0</v>
      </c>
      <c r="AC16" s="27">
        <f t="shared" si="18"/>
        <v>0</v>
      </c>
      <c r="AD16" s="96" t="e">
        <f>U16*AC16</f>
        <v>#N/A</v>
      </c>
      <c r="AE16"/>
      <c r="AF16" s="99" t="e">
        <f t="shared" si="11"/>
        <v>#N/A</v>
      </c>
      <c r="AG16" s="99" t="e">
        <f t="shared" si="12"/>
        <v>#N/A</v>
      </c>
      <c r="AH16" s="99" t="e">
        <f t="shared" si="13"/>
        <v>#N/A</v>
      </c>
      <c r="AI16" s="95"/>
      <c r="AJ16" s="95"/>
      <c r="AK16" s="95" t="e">
        <f t="shared" si="14"/>
        <v>#N/A</v>
      </c>
      <c r="AL16" s="95" t="e">
        <f>T16-AK16</f>
        <v>#N/A</v>
      </c>
    </row>
    <row r="17" spans="1:38" s="29" customFormat="1" ht="15.75" thickBot="1">
      <c r="A17" s="26" t="s">
        <v>33</v>
      </c>
      <c r="B17" s="8">
        <v>4333</v>
      </c>
      <c r="C17" s="7" t="s">
        <v>34</v>
      </c>
      <c r="D17" s="29" t="s">
        <v>41</v>
      </c>
      <c r="E17" s="7" t="s">
        <v>0</v>
      </c>
      <c r="F17" t="s">
        <v>36</v>
      </c>
      <c r="G17" s="76" t="s">
        <v>44</v>
      </c>
      <c r="H17" s="5">
        <v>3</v>
      </c>
      <c r="I17" s="29">
        <f t="shared" si="2"/>
        <v>25</v>
      </c>
      <c r="K17" s="100">
        <f>IF(E17="UGRD",H17*I17*Table!$H$7,IF(E17="GRAD",H17*I17*Table!$H$8))</f>
        <v>18459</v>
      </c>
      <c r="L17" s="141" t="s">
        <v>77</v>
      </c>
      <c r="N17" s="29" t="e">
        <f>VLOOKUP(G17,Table!$A$1:D26,3,FALSE)</f>
        <v>#N/A</v>
      </c>
      <c r="O17" s="101" t="e">
        <f>VLOOKUP(G17,Table!$A$1:C26,2,FALSE)</f>
        <v>#N/A</v>
      </c>
      <c r="P17" s="95" t="e">
        <f t="shared" si="19"/>
        <v>#N/A</v>
      </c>
      <c r="Q17" s="95" t="e">
        <f>IF(N17=1,P17*Table!$H$1,IF(N17=2,P17*Table!$H$6,IF(N17=3,P17*Table!$H$2,IF(N17=4,P17*Table!$H$4,IF(N17=5,P17*Table!$H$3,)))))</f>
        <v>#N/A</v>
      </c>
      <c r="R17" s="95" t="e">
        <f t="shared" si="3"/>
        <v>#N/A</v>
      </c>
      <c r="S17" s="95"/>
      <c r="T17" s="95" t="e">
        <f t="shared" si="4"/>
        <v>#N/A</v>
      </c>
      <c r="U17" s="96" t="e">
        <f t="shared" si="5"/>
        <v>#N/A</v>
      </c>
      <c r="V17"/>
      <c r="W17" s="15">
        <f t="shared" si="6"/>
        <v>25</v>
      </c>
      <c r="X17" s="27">
        <f t="shared" si="16"/>
        <v>1</v>
      </c>
      <c r="Y17" s="98" t="e">
        <f t="shared" si="7"/>
        <v>#N/A</v>
      </c>
      <c r="Z17" s="133" t="e">
        <f t="shared" si="8"/>
        <v>#N/A</v>
      </c>
      <c r="AA17" s="98" t="e">
        <f t="shared" si="9"/>
        <v>#N/A</v>
      </c>
      <c r="AB17" s="12">
        <f t="shared" si="17"/>
        <v>0</v>
      </c>
      <c r="AC17" s="27">
        <f t="shared" si="18"/>
        <v>0</v>
      </c>
      <c r="AD17" s="96" t="e">
        <f>U17*AC17</f>
        <v>#N/A</v>
      </c>
      <c r="AE17"/>
      <c r="AF17" s="99" t="str">
        <f t="shared" si="11"/>
        <v>0.00</v>
      </c>
      <c r="AG17" s="99" t="str">
        <f t="shared" si="12"/>
        <v>0.00</v>
      </c>
      <c r="AH17" s="99" t="str">
        <f t="shared" si="13"/>
        <v>0.00</v>
      </c>
      <c r="AI17" s="95"/>
      <c r="AJ17" s="95"/>
      <c r="AK17" s="95">
        <f t="shared" si="14"/>
        <v>0</v>
      </c>
      <c r="AL17" s="95" t="e">
        <f>T17-AK17</f>
        <v>#N/A</v>
      </c>
    </row>
    <row r="18" spans="26:38" ht="15">
      <c r="Z18" s="77"/>
      <c r="AF18" s="28"/>
      <c r="AG18" s="28"/>
      <c r="AH18" s="28"/>
      <c r="AI18" s="28"/>
      <c r="AJ18" s="28"/>
      <c r="AK18" s="28"/>
      <c r="AL18" s="28"/>
    </row>
    <row r="19" spans="1:38" s="29" customFormat="1" ht="15">
      <c r="A19" s="56"/>
      <c r="H19" s="57"/>
      <c r="K19" s="58"/>
      <c r="O19" s="59"/>
      <c r="P19" s="60"/>
      <c r="Q19" s="60"/>
      <c r="R19" s="60"/>
      <c r="S19"/>
      <c r="T19"/>
      <c r="U19"/>
      <c r="V19"/>
      <c r="W19"/>
      <c r="X19"/>
      <c r="Y19"/>
      <c r="Z19" s="77"/>
      <c r="AA19"/>
      <c r="AB19"/>
      <c r="AC19"/>
      <c r="AD19"/>
      <c r="AE19"/>
      <c r="AF19" s="28"/>
      <c r="AG19" s="28"/>
      <c r="AH19" s="28"/>
      <c r="AI19" s="28"/>
      <c r="AJ19" s="28"/>
      <c r="AK19" s="28"/>
      <c r="AL19" s="28"/>
    </row>
    <row r="20" spans="1:31" s="29" customFormat="1" ht="15">
      <c r="A20" s="56"/>
      <c r="H20" s="57"/>
      <c r="K20" s="58"/>
      <c r="O20" s="59"/>
      <c r="P20" s="60"/>
      <c r="Q20" s="60"/>
      <c r="R20" s="60"/>
      <c r="S20" s="61"/>
      <c r="T20" s="60"/>
      <c r="U20" s="60"/>
      <c r="V20"/>
      <c r="W20" s="60"/>
      <c r="X20" s="62"/>
      <c r="Z20" s="134"/>
      <c r="AE20"/>
    </row>
    <row r="21" spans="1:38" s="29" customFormat="1" ht="15">
      <c r="A21" s="56"/>
      <c r="G21" s="237" t="s">
        <v>97</v>
      </c>
      <c r="H21" s="57" t="s">
        <v>82</v>
      </c>
      <c r="I21" s="115">
        <v>20</v>
      </c>
      <c r="J21" s="52">
        <f>SUM(J22:J23)</f>
        <v>0</v>
      </c>
      <c r="K21" s="94">
        <v>86443.2</v>
      </c>
      <c r="L21" s="55"/>
      <c r="M21" s="54"/>
      <c r="N21" s="54"/>
      <c r="O21" s="54"/>
      <c r="P21" s="93">
        <v>38956.575</v>
      </c>
      <c r="Q21" s="93">
        <v>11184.432682500003</v>
      </c>
      <c r="R21" s="93">
        <v>50141.0076825</v>
      </c>
      <c r="S21" s="93">
        <v>0</v>
      </c>
      <c r="T21" s="93">
        <v>50141.0076825</v>
      </c>
      <c r="U21" s="94">
        <v>36302.1923175</v>
      </c>
      <c r="V21"/>
      <c r="W21" s="111">
        <v>120</v>
      </c>
      <c r="X21" s="112">
        <v>1</v>
      </c>
      <c r="Y21" s="113">
        <v>7260.438463500001</v>
      </c>
      <c r="Z21" s="135">
        <v>18151.09615875</v>
      </c>
      <c r="AA21" s="113">
        <v>10890.65769525</v>
      </c>
      <c r="AB21" s="111">
        <v>0</v>
      </c>
      <c r="AC21" s="112">
        <v>0</v>
      </c>
      <c r="AD21" s="114">
        <v>0</v>
      </c>
      <c r="AE21"/>
      <c r="AF21" s="93">
        <v>32071.575</v>
      </c>
      <c r="AG21" s="93">
        <v>9207.749182500002</v>
      </c>
      <c r="AH21" s="93">
        <v>41279.3241825</v>
      </c>
      <c r="AI21" s="93">
        <v>0</v>
      </c>
      <c r="AJ21" s="93">
        <v>0</v>
      </c>
      <c r="AK21" s="93">
        <v>41279.3241825</v>
      </c>
      <c r="AL21" s="93">
        <v>8861.6835</v>
      </c>
    </row>
    <row r="22" spans="1:31" s="29" customFormat="1" ht="15">
      <c r="A22" s="56"/>
      <c r="G22" s="238"/>
      <c r="H22" s="57"/>
      <c r="K22" s="58"/>
      <c r="O22" s="59"/>
      <c r="P22" s="60"/>
      <c r="Q22" s="60"/>
      <c r="R22" s="60"/>
      <c r="S22" s="61"/>
      <c r="T22" s="60"/>
      <c r="U22" s="60"/>
      <c r="V22"/>
      <c r="W22" s="60"/>
      <c r="X22" s="62"/>
      <c r="Z22" s="134"/>
      <c r="AE22"/>
    </row>
    <row r="23" spans="1:38" s="29" customFormat="1" ht="15">
      <c r="A23" s="56"/>
      <c r="G23" s="238"/>
      <c r="H23" s="57" t="s">
        <v>83</v>
      </c>
      <c r="I23" s="115">
        <v>20</v>
      </c>
      <c r="J23" s="52">
        <f>SUM(J24:J25)</f>
        <v>0</v>
      </c>
      <c r="K23" s="94">
        <v>86443.2</v>
      </c>
      <c r="L23" s="55"/>
      <c r="M23" s="54"/>
      <c r="N23" s="54"/>
      <c r="O23" s="54"/>
      <c r="P23" s="93">
        <v>38956.575</v>
      </c>
      <c r="Q23" s="93">
        <v>11184.432682500003</v>
      </c>
      <c r="R23" s="93">
        <v>50141.0076825</v>
      </c>
      <c r="S23" s="93">
        <v>0</v>
      </c>
      <c r="T23" s="93">
        <v>50141.0076825</v>
      </c>
      <c r="U23" s="94">
        <v>36302.1923175</v>
      </c>
      <c r="V23"/>
      <c r="W23" s="111">
        <v>60</v>
      </c>
      <c r="X23" s="112">
        <v>0.5</v>
      </c>
      <c r="Y23" s="113">
        <v>3630.2192317500003</v>
      </c>
      <c r="Z23" s="135">
        <v>9075.548079375</v>
      </c>
      <c r="AA23" s="113">
        <v>5445.328847625</v>
      </c>
      <c r="AB23" s="111">
        <v>60</v>
      </c>
      <c r="AC23" s="112">
        <v>0.5</v>
      </c>
      <c r="AD23" s="114">
        <v>18151.09615875</v>
      </c>
      <c r="AE23"/>
      <c r="AF23" s="93">
        <v>32071.575</v>
      </c>
      <c r="AG23" s="93">
        <v>9207.749182500002</v>
      </c>
      <c r="AH23" s="93">
        <v>41279.3241825</v>
      </c>
      <c r="AI23" s="93">
        <v>0</v>
      </c>
      <c r="AJ23" s="93">
        <v>0</v>
      </c>
      <c r="AK23" s="93">
        <v>41279.3241825</v>
      </c>
      <c r="AL23" s="93">
        <v>8861.6835</v>
      </c>
    </row>
    <row r="24" spans="1:31" s="29" customFormat="1" ht="15">
      <c r="A24" s="56"/>
      <c r="G24" s="238"/>
      <c r="H24" s="57"/>
      <c r="K24" s="58"/>
      <c r="O24" s="59"/>
      <c r="P24" s="60"/>
      <c r="Q24" s="60"/>
      <c r="R24" s="60"/>
      <c r="S24" s="61"/>
      <c r="T24" s="60"/>
      <c r="U24" s="60"/>
      <c r="V24"/>
      <c r="W24" s="60"/>
      <c r="X24" s="62"/>
      <c r="Z24" s="134"/>
      <c r="AE24"/>
    </row>
    <row r="25" spans="1:31" s="29" customFormat="1" ht="15">
      <c r="A25" s="56"/>
      <c r="G25" s="238"/>
      <c r="H25" s="57"/>
      <c r="K25" s="58"/>
      <c r="O25" s="59"/>
      <c r="P25" s="60"/>
      <c r="Q25" s="60"/>
      <c r="R25" s="60"/>
      <c r="S25" s="61"/>
      <c r="T25" s="60"/>
      <c r="U25" s="60"/>
      <c r="V25"/>
      <c r="W25" s="60"/>
      <c r="X25" s="62"/>
      <c r="Z25" s="134"/>
      <c r="AC25" s="63"/>
      <c r="AD25" s="63"/>
      <c r="AE25"/>
    </row>
    <row r="26" spans="1:38" s="63" customFormat="1" ht="15">
      <c r="A26" s="56"/>
      <c r="B26" s="29"/>
      <c r="C26" s="29"/>
      <c r="D26" s="29"/>
      <c r="E26" s="29"/>
      <c r="F26" s="29"/>
      <c r="G26" s="238"/>
      <c r="H26" s="57" t="s">
        <v>82</v>
      </c>
      <c r="I26" s="116">
        <v>25</v>
      </c>
      <c r="J26" s="52">
        <f>SUM(J27:J28)</f>
        <v>0</v>
      </c>
      <c r="K26" s="94">
        <v>108054</v>
      </c>
      <c r="L26" s="55"/>
      <c r="M26" s="54"/>
      <c r="N26" s="54"/>
      <c r="O26" s="54"/>
      <c r="P26" s="93">
        <v>38956.575</v>
      </c>
      <c r="Q26" s="93">
        <v>11184.432682500003</v>
      </c>
      <c r="R26" s="93">
        <v>50141.0076825</v>
      </c>
      <c r="S26" s="93">
        <v>0</v>
      </c>
      <c r="T26" s="93">
        <v>50141.0076825</v>
      </c>
      <c r="U26" s="94">
        <v>57912.99231749999</v>
      </c>
      <c r="V26"/>
      <c r="W26" s="111">
        <v>150</v>
      </c>
      <c r="X26" s="112">
        <v>1</v>
      </c>
      <c r="Y26" s="113">
        <v>11582.598463499999</v>
      </c>
      <c r="Z26" s="135">
        <v>28956.496158749997</v>
      </c>
      <c r="AA26" s="113">
        <v>17373.897695249998</v>
      </c>
      <c r="AB26" s="111">
        <v>0</v>
      </c>
      <c r="AC26" s="112">
        <v>0</v>
      </c>
      <c r="AD26" s="114">
        <v>0</v>
      </c>
      <c r="AE26"/>
      <c r="AF26" s="93">
        <v>32071.575</v>
      </c>
      <c r="AG26" s="93">
        <v>9207.749182500002</v>
      </c>
      <c r="AH26" s="93">
        <v>41279.3241825</v>
      </c>
      <c r="AI26" s="93">
        <v>0</v>
      </c>
      <c r="AJ26" s="93">
        <v>0</v>
      </c>
      <c r="AK26" s="93">
        <v>41279.3241825</v>
      </c>
      <c r="AL26" s="93">
        <v>8861.6835</v>
      </c>
    </row>
    <row r="27" spans="1:31" s="29" customFormat="1" ht="15">
      <c r="A27" s="56"/>
      <c r="G27" s="238"/>
      <c r="H27" s="57"/>
      <c r="K27" s="58"/>
      <c r="O27" s="59"/>
      <c r="P27" s="60"/>
      <c r="Q27" s="60"/>
      <c r="R27" s="60"/>
      <c r="S27" s="61"/>
      <c r="T27" s="60"/>
      <c r="U27" s="60"/>
      <c r="V27"/>
      <c r="W27" s="60"/>
      <c r="X27" s="62"/>
      <c r="Z27" s="134"/>
      <c r="AE27"/>
    </row>
    <row r="28" spans="1:38" s="29" customFormat="1" ht="15">
      <c r="A28" s="56"/>
      <c r="G28" s="238"/>
      <c r="H28" s="57" t="s">
        <v>83</v>
      </c>
      <c r="I28" s="116">
        <v>25</v>
      </c>
      <c r="J28" s="52">
        <f>SUM(J29:J30)</f>
        <v>0</v>
      </c>
      <c r="K28" s="94">
        <v>108054</v>
      </c>
      <c r="L28" s="55"/>
      <c r="M28" s="54"/>
      <c r="N28" s="54"/>
      <c r="O28" s="54"/>
      <c r="P28" s="93">
        <v>38956.575</v>
      </c>
      <c r="Q28" s="93">
        <v>11184.432682500003</v>
      </c>
      <c r="R28" s="93">
        <v>50141.0076825</v>
      </c>
      <c r="S28" s="93">
        <v>0</v>
      </c>
      <c r="T28" s="93">
        <v>50141.0076825</v>
      </c>
      <c r="U28" s="94">
        <v>57912.99231749999</v>
      </c>
      <c r="V28"/>
      <c r="W28" s="111">
        <v>75</v>
      </c>
      <c r="X28" s="112">
        <v>0.5</v>
      </c>
      <c r="Y28" s="113">
        <v>5791.299231749999</v>
      </c>
      <c r="Z28" s="135">
        <v>14478.248079374998</v>
      </c>
      <c r="AA28" s="113">
        <v>8686.948847624999</v>
      </c>
      <c r="AB28" s="111">
        <v>75</v>
      </c>
      <c r="AC28" s="112">
        <v>0.5</v>
      </c>
      <c r="AD28" s="114">
        <v>28956.496158749997</v>
      </c>
      <c r="AE28"/>
      <c r="AF28" s="93">
        <v>32071.575</v>
      </c>
      <c r="AG28" s="93">
        <v>9207.749182500002</v>
      </c>
      <c r="AH28" s="93">
        <v>41279.3241825</v>
      </c>
      <c r="AI28" s="93">
        <v>0</v>
      </c>
      <c r="AJ28" s="93">
        <v>0</v>
      </c>
      <c r="AK28" s="93">
        <v>41279.3241825</v>
      </c>
      <c r="AL28" s="93">
        <v>8861.6835</v>
      </c>
    </row>
    <row r="29" spans="1:31" s="29" customFormat="1" ht="15">
      <c r="A29" s="56"/>
      <c r="G29" s="239"/>
      <c r="H29" s="57"/>
      <c r="K29" s="58"/>
      <c r="O29" s="59"/>
      <c r="P29" s="60"/>
      <c r="Q29" s="60"/>
      <c r="R29" s="60"/>
      <c r="S29" s="61"/>
      <c r="T29" s="60"/>
      <c r="U29" s="60"/>
      <c r="V29"/>
      <c r="W29" s="60"/>
      <c r="X29" s="62"/>
      <c r="Z29" s="134"/>
      <c r="AE29"/>
    </row>
    <row r="30" spans="1:31" s="29" customFormat="1" ht="15">
      <c r="A30" s="56"/>
      <c r="H30" s="57"/>
      <c r="K30" s="58"/>
      <c r="O30" s="59"/>
      <c r="P30" s="60"/>
      <c r="Q30" s="60"/>
      <c r="R30" s="60"/>
      <c r="S30" s="61"/>
      <c r="T30" s="60"/>
      <c r="U30" s="60"/>
      <c r="V30"/>
      <c r="W30" s="60"/>
      <c r="X30" s="62"/>
      <c r="Z30" s="134"/>
      <c r="AE30"/>
    </row>
    <row r="31" spans="1:38" s="29" customFormat="1" ht="15">
      <c r="A31" s="56"/>
      <c r="H31" s="57" t="s">
        <v>82</v>
      </c>
      <c r="I31" s="117">
        <v>30</v>
      </c>
      <c r="J31" s="52">
        <f>SUM(J32:J33)</f>
        <v>0</v>
      </c>
      <c r="K31" s="94">
        <v>129664.8</v>
      </c>
      <c r="L31" s="55"/>
      <c r="M31" s="54"/>
      <c r="N31" s="54"/>
      <c r="O31" s="54"/>
      <c r="P31" s="93">
        <v>38956.575</v>
      </c>
      <c r="Q31" s="93">
        <v>11184.432682500003</v>
      </c>
      <c r="R31" s="93">
        <v>50141.0076825</v>
      </c>
      <c r="S31" s="93">
        <v>0</v>
      </c>
      <c r="T31" s="93">
        <v>50141.0076825</v>
      </c>
      <c r="U31" s="94">
        <v>79523.79231749999</v>
      </c>
      <c r="V31"/>
      <c r="W31" s="111">
        <v>180</v>
      </c>
      <c r="X31" s="112">
        <v>1</v>
      </c>
      <c r="Y31" s="113">
        <v>15904.758463499998</v>
      </c>
      <c r="Z31" s="135">
        <v>39761.896158749994</v>
      </c>
      <c r="AA31" s="113">
        <v>23857.13769525</v>
      </c>
      <c r="AB31" s="111">
        <v>0</v>
      </c>
      <c r="AC31" s="112">
        <v>0</v>
      </c>
      <c r="AD31" s="114">
        <v>0</v>
      </c>
      <c r="AE31"/>
      <c r="AF31" s="93">
        <v>32071.575</v>
      </c>
      <c r="AG31" s="93">
        <v>9207.749182500002</v>
      </c>
      <c r="AH31" s="93">
        <v>41279.3241825</v>
      </c>
      <c r="AI31" s="93">
        <v>0</v>
      </c>
      <c r="AJ31" s="93">
        <v>0</v>
      </c>
      <c r="AK31" s="93">
        <v>41279.3241825</v>
      </c>
      <c r="AL31" s="93">
        <v>8861.6835</v>
      </c>
    </row>
    <row r="32" spans="1:31" s="29" customFormat="1" ht="15">
      <c r="A32" s="56"/>
      <c r="H32" s="57"/>
      <c r="K32" s="58"/>
      <c r="O32" s="59"/>
      <c r="P32" s="60"/>
      <c r="Q32" s="60"/>
      <c r="R32" s="60"/>
      <c r="S32" s="61"/>
      <c r="T32" s="60"/>
      <c r="U32" s="60"/>
      <c r="V32"/>
      <c r="W32" s="60"/>
      <c r="X32" s="62"/>
      <c r="Z32" s="134"/>
      <c r="AE32"/>
    </row>
    <row r="33" spans="1:38" s="29" customFormat="1" ht="15">
      <c r="A33" s="56"/>
      <c r="H33" s="57" t="s">
        <v>83</v>
      </c>
      <c r="I33" s="117">
        <v>30</v>
      </c>
      <c r="J33" s="52">
        <f>SUM(J34:J35)</f>
        <v>0</v>
      </c>
      <c r="K33" s="94">
        <v>129664.8</v>
      </c>
      <c r="L33" s="55"/>
      <c r="M33" s="54"/>
      <c r="N33" s="54"/>
      <c r="O33" s="54"/>
      <c r="P33" s="93">
        <v>38956.575</v>
      </c>
      <c r="Q33" s="93">
        <v>11184.432682500003</v>
      </c>
      <c r="R33" s="93">
        <v>50141.0076825</v>
      </c>
      <c r="S33" s="93">
        <v>0</v>
      </c>
      <c r="T33" s="93">
        <v>50141.0076825</v>
      </c>
      <c r="U33" s="94">
        <v>79523.79231749999</v>
      </c>
      <c r="V33"/>
      <c r="W33" s="111">
        <v>90</v>
      </c>
      <c r="X33" s="112">
        <v>0.5</v>
      </c>
      <c r="Y33" s="113">
        <v>7952.379231749999</v>
      </c>
      <c r="Z33" s="135">
        <v>19880.948079374997</v>
      </c>
      <c r="AA33" s="113">
        <v>11928.568847625</v>
      </c>
      <c r="AB33" s="111">
        <v>90</v>
      </c>
      <c r="AC33" s="112">
        <v>0.5</v>
      </c>
      <c r="AD33" s="114">
        <v>39761.896158749994</v>
      </c>
      <c r="AE33"/>
      <c r="AF33" s="93">
        <v>32071.575</v>
      </c>
      <c r="AG33" s="93">
        <v>9207.749182500002</v>
      </c>
      <c r="AH33" s="93">
        <v>41279.3241825</v>
      </c>
      <c r="AI33" s="93">
        <v>0</v>
      </c>
      <c r="AJ33" s="93">
        <v>0</v>
      </c>
      <c r="AK33" s="93">
        <v>41279.3241825</v>
      </c>
      <c r="AL33" s="93">
        <v>8861.6835</v>
      </c>
    </row>
    <row r="34" spans="1:31" s="29" customFormat="1" ht="15">
      <c r="A34" s="56"/>
      <c r="H34" s="57"/>
      <c r="K34" s="58"/>
      <c r="O34" s="59"/>
      <c r="P34" s="60"/>
      <c r="Q34" s="60"/>
      <c r="R34" s="60"/>
      <c r="S34" s="61"/>
      <c r="T34" s="60"/>
      <c r="U34" s="60"/>
      <c r="V34"/>
      <c r="W34" s="60"/>
      <c r="X34" s="62"/>
      <c r="Z34" s="134"/>
      <c r="AE34"/>
    </row>
    <row r="35" spans="1:31" s="29" customFormat="1" ht="15">
      <c r="A35" s="56"/>
      <c r="H35" s="57"/>
      <c r="K35" s="58"/>
      <c r="O35" s="59"/>
      <c r="P35" s="60"/>
      <c r="Q35" s="60"/>
      <c r="R35" s="60"/>
      <c r="S35" s="61"/>
      <c r="T35" s="60"/>
      <c r="U35" s="60"/>
      <c r="V35"/>
      <c r="W35" s="60"/>
      <c r="X35" s="62"/>
      <c r="Z35" s="134"/>
      <c r="AE35"/>
    </row>
    <row r="36" spans="1:38" s="29" customFormat="1" ht="15">
      <c r="A36" s="56"/>
      <c r="H36" s="57" t="s">
        <v>82</v>
      </c>
      <c r="I36" s="118">
        <v>35</v>
      </c>
      <c r="J36" s="52">
        <f>SUM(J37:J38)</f>
        <v>0</v>
      </c>
      <c r="K36" s="94">
        <v>151275.6</v>
      </c>
      <c r="L36" s="55"/>
      <c r="M36" s="54"/>
      <c r="N36" s="54"/>
      <c r="O36" s="54"/>
      <c r="P36" s="93">
        <v>38956.575</v>
      </c>
      <c r="Q36" s="93">
        <v>11184.432682500003</v>
      </c>
      <c r="R36" s="93">
        <v>50141.0076825</v>
      </c>
      <c r="S36" s="93">
        <v>0</v>
      </c>
      <c r="T36" s="93">
        <v>50141.0076825</v>
      </c>
      <c r="U36" s="94">
        <v>101134.5923175</v>
      </c>
      <c r="V36"/>
      <c r="W36" s="111">
        <v>210</v>
      </c>
      <c r="X36" s="112">
        <v>1</v>
      </c>
      <c r="Y36" s="113">
        <v>20226.918463500002</v>
      </c>
      <c r="Z36" s="135">
        <v>50567.29615875</v>
      </c>
      <c r="AA36" s="113">
        <v>30340.377695250005</v>
      </c>
      <c r="AB36" s="111">
        <v>0</v>
      </c>
      <c r="AC36" s="112">
        <v>0</v>
      </c>
      <c r="AD36" s="114">
        <v>0</v>
      </c>
      <c r="AE36"/>
      <c r="AF36" s="93">
        <v>32071.575</v>
      </c>
      <c r="AG36" s="93">
        <v>9207.749182500002</v>
      </c>
      <c r="AH36" s="93">
        <v>41279.3241825</v>
      </c>
      <c r="AI36" s="93">
        <v>0</v>
      </c>
      <c r="AJ36" s="93">
        <v>0</v>
      </c>
      <c r="AK36" s="93">
        <v>41279.3241825</v>
      </c>
      <c r="AL36" s="93">
        <v>8861.6835</v>
      </c>
    </row>
    <row r="37" spans="1:31" s="29" customFormat="1" ht="15">
      <c r="A37" s="56"/>
      <c r="H37" s="57"/>
      <c r="I37" s="119"/>
      <c r="K37" s="58"/>
      <c r="O37" s="59"/>
      <c r="P37" s="60"/>
      <c r="Q37" s="60"/>
      <c r="R37" s="60"/>
      <c r="S37" s="61"/>
      <c r="T37" s="60"/>
      <c r="U37" s="60"/>
      <c r="V37"/>
      <c r="W37" s="60"/>
      <c r="X37" s="62"/>
      <c r="Z37" s="134"/>
      <c r="AE37"/>
    </row>
    <row r="38" spans="1:38" s="29" customFormat="1" ht="15">
      <c r="A38" s="56"/>
      <c r="H38" s="57" t="s">
        <v>83</v>
      </c>
      <c r="I38" s="118">
        <v>35</v>
      </c>
      <c r="J38" s="52">
        <f>SUM(J39:J40)</f>
        <v>0</v>
      </c>
      <c r="K38" s="94">
        <v>151275.6</v>
      </c>
      <c r="L38" s="55"/>
      <c r="M38" s="54"/>
      <c r="N38" s="54"/>
      <c r="O38" s="54"/>
      <c r="P38" s="93">
        <v>38956.575</v>
      </c>
      <c r="Q38" s="93">
        <v>11184.432682500003</v>
      </c>
      <c r="R38" s="93">
        <v>50141.0076825</v>
      </c>
      <c r="S38" s="93">
        <v>0</v>
      </c>
      <c r="T38" s="93">
        <v>50141.0076825</v>
      </c>
      <c r="U38" s="94">
        <v>101134.5923175</v>
      </c>
      <c r="V38"/>
      <c r="W38" s="111">
        <v>105</v>
      </c>
      <c r="X38" s="112">
        <v>0.5</v>
      </c>
      <c r="Y38" s="113">
        <v>10113.459231750001</v>
      </c>
      <c r="Z38" s="135">
        <v>25283.648079375</v>
      </c>
      <c r="AA38" s="113">
        <v>15170.188847625002</v>
      </c>
      <c r="AB38" s="111">
        <v>105</v>
      </c>
      <c r="AC38" s="112">
        <v>0.5</v>
      </c>
      <c r="AD38" s="114">
        <v>50567.29615875</v>
      </c>
      <c r="AE38"/>
      <c r="AF38" s="93">
        <v>32071.575</v>
      </c>
      <c r="AG38" s="93">
        <v>9207.749182500002</v>
      </c>
      <c r="AH38" s="93">
        <v>41279.3241825</v>
      </c>
      <c r="AI38" s="93">
        <v>0</v>
      </c>
      <c r="AJ38" s="93">
        <v>0</v>
      </c>
      <c r="AK38" s="93">
        <v>41279.3241825</v>
      </c>
      <c r="AL38" s="93">
        <v>8861.6835</v>
      </c>
    </row>
    <row r="39" spans="1:31" s="29" customFormat="1" ht="15">
      <c r="A39" s="56"/>
      <c r="H39" s="57"/>
      <c r="I39" s="119"/>
      <c r="K39" s="58"/>
      <c r="O39" s="59"/>
      <c r="P39" s="60"/>
      <c r="Q39" s="60"/>
      <c r="R39" s="60"/>
      <c r="S39" s="61"/>
      <c r="T39" s="60"/>
      <c r="U39" s="60"/>
      <c r="V39"/>
      <c r="W39" s="60"/>
      <c r="X39" s="62"/>
      <c r="Z39" s="134"/>
      <c r="AE39"/>
    </row>
    <row r="40" spans="1:31" s="29" customFormat="1" ht="15">
      <c r="A40" s="56"/>
      <c r="H40" s="57"/>
      <c r="I40" s="119"/>
      <c r="K40" s="58"/>
      <c r="O40" s="59"/>
      <c r="P40" s="60"/>
      <c r="Q40" s="60"/>
      <c r="R40" s="60"/>
      <c r="S40" s="61"/>
      <c r="T40" s="60"/>
      <c r="U40" s="60"/>
      <c r="V40"/>
      <c r="W40" s="60"/>
      <c r="X40" s="62"/>
      <c r="Z40" s="134"/>
      <c r="AE40"/>
    </row>
    <row r="41" spans="1:38" s="29" customFormat="1" ht="15">
      <c r="A41" s="56"/>
      <c r="H41" s="57" t="s">
        <v>82</v>
      </c>
      <c r="I41" s="120">
        <v>40</v>
      </c>
      <c r="J41" s="52">
        <f>SUM(J42:J43)</f>
        <v>0</v>
      </c>
      <c r="K41" s="94">
        <v>172886.4</v>
      </c>
      <c r="L41" s="55"/>
      <c r="M41" s="54"/>
      <c r="N41" s="54"/>
      <c r="O41" s="54"/>
      <c r="P41" s="93">
        <v>38956.575</v>
      </c>
      <c r="Q41" s="93">
        <v>11184.432682500003</v>
      </c>
      <c r="R41" s="93">
        <v>50141.0076825</v>
      </c>
      <c r="S41" s="93">
        <v>0</v>
      </c>
      <c r="T41" s="93">
        <v>50141.0076825</v>
      </c>
      <c r="U41" s="94">
        <v>122745.3923175</v>
      </c>
      <c r="V41"/>
      <c r="W41" s="111">
        <v>240</v>
      </c>
      <c r="X41" s="112">
        <v>1</v>
      </c>
      <c r="Y41" s="113">
        <v>24549.078463499998</v>
      </c>
      <c r="Z41" s="135">
        <v>61372.69615875</v>
      </c>
      <c r="AA41" s="113">
        <v>36823.617695249995</v>
      </c>
      <c r="AB41" s="111">
        <v>0</v>
      </c>
      <c r="AC41" s="112">
        <v>0</v>
      </c>
      <c r="AD41" s="114">
        <v>0</v>
      </c>
      <c r="AE41"/>
      <c r="AF41" s="93">
        <v>32071.575</v>
      </c>
      <c r="AG41" s="93">
        <v>9207.749182500002</v>
      </c>
      <c r="AH41" s="93">
        <v>41279.3241825</v>
      </c>
      <c r="AI41" s="93">
        <v>0</v>
      </c>
      <c r="AJ41" s="93">
        <v>0</v>
      </c>
      <c r="AK41" s="93">
        <v>41279.3241825</v>
      </c>
      <c r="AL41" s="93">
        <v>8861.6835</v>
      </c>
    </row>
    <row r="42" spans="1:31" s="29" customFormat="1" ht="15">
      <c r="A42" s="56"/>
      <c r="H42" s="57"/>
      <c r="I42" s="119"/>
      <c r="K42" s="58"/>
      <c r="O42" s="59"/>
      <c r="P42" s="60"/>
      <c r="Q42" s="60"/>
      <c r="R42" s="60"/>
      <c r="S42" s="61"/>
      <c r="T42" s="60"/>
      <c r="U42" s="60"/>
      <c r="V42"/>
      <c r="W42" s="60"/>
      <c r="X42" s="62"/>
      <c r="Z42" s="134"/>
      <c r="AE42"/>
    </row>
    <row r="43" spans="1:38" s="29" customFormat="1" ht="15">
      <c r="A43" s="56"/>
      <c r="H43" s="57" t="s">
        <v>83</v>
      </c>
      <c r="I43" s="120">
        <v>40</v>
      </c>
      <c r="J43" s="52">
        <f>SUM(J44:J45)</f>
        <v>0</v>
      </c>
      <c r="K43" s="94">
        <v>172886.4</v>
      </c>
      <c r="L43" s="55"/>
      <c r="M43" s="54"/>
      <c r="N43" s="54"/>
      <c r="O43" s="54"/>
      <c r="P43" s="93">
        <v>38956.575</v>
      </c>
      <c r="Q43" s="93">
        <v>11184.432682500003</v>
      </c>
      <c r="R43" s="93">
        <v>50141.0076825</v>
      </c>
      <c r="S43" s="93">
        <v>0</v>
      </c>
      <c r="T43" s="93">
        <v>50141.0076825</v>
      </c>
      <c r="U43" s="94">
        <v>122745.3923175</v>
      </c>
      <c r="V43"/>
      <c r="W43" s="111">
        <v>120</v>
      </c>
      <c r="X43" s="112">
        <v>0.5</v>
      </c>
      <c r="Y43" s="113">
        <v>12274.539231749999</v>
      </c>
      <c r="Z43" s="135">
        <v>30686.348079375</v>
      </c>
      <c r="AA43" s="113">
        <v>18411.808847624998</v>
      </c>
      <c r="AB43" s="111">
        <v>120</v>
      </c>
      <c r="AC43" s="112">
        <v>0.5</v>
      </c>
      <c r="AD43" s="114">
        <v>61372.69615875</v>
      </c>
      <c r="AE43"/>
      <c r="AF43" s="93">
        <v>32071.575</v>
      </c>
      <c r="AG43" s="93">
        <v>9207.749182500002</v>
      </c>
      <c r="AH43" s="93">
        <v>41279.3241825</v>
      </c>
      <c r="AI43" s="93">
        <v>0</v>
      </c>
      <c r="AJ43" s="93">
        <v>0</v>
      </c>
      <c r="AK43" s="93">
        <v>41279.3241825</v>
      </c>
      <c r="AL43" s="93">
        <v>8861.6835</v>
      </c>
    </row>
    <row r="44" spans="1:31" s="29" customFormat="1" ht="15">
      <c r="A44" s="56"/>
      <c r="H44" s="57"/>
      <c r="K44" s="58"/>
      <c r="O44" s="59"/>
      <c r="P44" s="60"/>
      <c r="Q44" s="60"/>
      <c r="R44" s="60"/>
      <c r="S44" s="61"/>
      <c r="T44" s="60"/>
      <c r="U44" s="60"/>
      <c r="V44"/>
      <c r="W44" s="60"/>
      <c r="X44" s="62"/>
      <c r="Z44" s="134"/>
      <c r="AC44" s="63"/>
      <c r="AD44" s="63"/>
      <c r="AE44"/>
    </row>
    <row r="45" spans="1:31" s="29" customFormat="1" ht="15">
      <c r="A45" s="64"/>
      <c r="C45" s="63"/>
      <c r="E45" s="63"/>
      <c r="H45" s="57"/>
      <c r="K45" s="58"/>
      <c r="O45" s="59"/>
      <c r="P45" s="60"/>
      <c r="Q45" s="60"/>
      <c r="R45" s="60"/>
      <c r="S45" s="61"/>
      <c r="T45" s="60"/>
      <c r="U45" s="60"/>
      <c r="V45"/>
      <c r="W45" s="60"/>
      <c r="X45" s="62"/>
      <c r="Z45" s="134"/>
      <c r="AE45"/>
    </row>
    <row r="46" spans="1:38" s="29" customFormat="1" ht="15">
      <c r="A46" s="64"/>
      <c r="C46" s="63"/>
      <c r="E46" s="63"/>
      <c r="H46" s="57" t="s">
        <v>82</v>
      </c>
      <c r="I46" s="115">
        <v>45</v>
      </c>
      <c r="J46" s="52">
        <v>0</v>
      </c>
      <c r="K46" s="94">
        <v>194497.2</v>
      </c>
      <c r="L46" s="55"/>
      <c r="M46" s="54"/>
      <c r="N46" s="54"/>
      <c r="O46" s="54"/>
      <c r="P46" s="93">
        <v>38956.575</v>
      </c>
      <c r="Q46" s="93">
        <v>11184.432682500003</v>
      </c>
      <c r="R46" s="93">
        <v>50141.0076825</v>
      </c>
      <c r="S46" s="93">
        <v>0</v>
      </c>
      <c r="T46" s="93">
        <v>50141.0076825</v>
      </c>
      <c r="U46" s="94">
        <v>144356.1923175</v>
      </c>
      <c r="V46"/>
      <c r="W46" s="111">
        <v>270</v>
      </c>
      <c r="X46" s="112">
        <v>1</v>
      </c>
      <c r="Y46" s="113">
        <v>28871.2384635</v>
      </c>
      <c r="Z46" s="135">
        <v>72178.09615875</v>
      </c>
      <c r="AA46" s="113">
        <v>43306.85769525</v>
      </c>
      <c r="AB46" s="111">
        <v>0</v>
      </c>
      <c r="AC46" s="112">
        <v>0</v>
      </c>
      <c r="AD46" s="114">
        <v>0</v>
      </c>
      <c r="AE46"/>
      <c r="AF46" s="93">
        <v>32071.575</v>
      </c>
      <c r="AG46" s="93">
        <v>9207.749182500002</v>
      </c>
      <c r="AH46" s="93">
        <v>41279.3241825</v>
      </c>
      <c r="AI46" s="93">
        <v>0</v>
      </c>
      <c r="AJ46" s="93">
        <v>0</v>
      </c>
      <c r="AK46" s="93">
        <v>41279.3241825</v>
      </c>
      <c r="AL46" s="93">
        <v>8861.6835</v>
      </c>
    </row>
    <row r="47" spans="1:31" s="29" customFormat="1" ht="15">
      <c r="A47" s="64"/>
      <c r="C47" s="63"/>
      <c r="E47" s="63"/>
      <c r="H47" s="57"/>
      <c r="K47" s="58"/>
      <c r="O47" s="59"/>
      <c r="P47" s="60"/>
      <c r="Q47" s="60"/>
      <c r="R47" s="60"/>
      <c r="S47" s="61"/>
      <c r="T47" s="60"/>
      <c r="U47" s="60"/>
      <c r="V47"/>
      <c r="W47" s="60"/>
      <c r="X47" s="62"/>
      <c r="Z47" s="134"/>
      <c r="AE47"/>
    </row>
    <row r="48" spans="1:38" s="29" customFormat="1" ht="15">
      <c r="A48" s="64"/>
      <c r="C48" s="63"/>
      <c r="E48" s="63"/>
      <c r="H48" s="57" t="s">
        <v>83</v>
      </c>
      <c r="I48" s="115">
        <v>45</v>
      </c>
      <c r="J48" s="52">
        <v>0</v>
      </c>
      <c r="K48" s="94">
        <v>194497.2</v>
      </c>
      <c r="L48" s="55"/>
      <c r="M48" s="54"/>
      <c r="N48" s="54"/>
      <c r="O48" s="54"/>
      <c r="P48" s="93">
        <v>38956.575</v>
      </c>
      <c r="Q48" s="93">
        <v>11184.432682500003</v>
      </c>
      <c r="R48" s="93">
        <v>50141.0076825</v>
      </c>
      <c r="S48" s="93">
        <v>0</v>
      </c>
      <c r="T48" s="93">
        <v>50141.0076825</v>
      </c>
      <c r="U48" s="94">
        <v>144356.1923175</v>
      </c>
      <c r="V48"/>
      <c r="W48" s="111">
        <v>135</v>
      </c>
      <c r="X48" s="112">
        <v>0.5</v>
      </c>
      <c r="Y48" s="113">
        <v>14435.61923175</v>
      </c>
      <c r="Z48" s="135">
        <v>36089.048079375</v>
      </c>
      <c r="AA48" s="113">
        <v>21653.428847625</v>
      </c>
      <c r="AB48" s="111">
        <v>135</v>
      </c>
      <c r="AC48" s="112">
        <v>0.5</v>
      </c>
      <c r="AD48" s="114">
        <v>72178.09615875</v>
      </c>
      <c r="AE48"/>
      <c r="AF48" s="93">
        <v>32071.575</v>
      </c>
      <c r="AG48" s="93">
        <v>9207.749182500002</v>
      </c>
      <c r="AH48" s="93">
        <v>41279.3241825</v>
      </c>
      <c r="AI48" s="93">
        <v>0</v>
      </c>
      <c r="AJ48" s="93">
        <v>0</v>
      </c>
      <c r="AK48" s="93">
        <v>41279.3241825</v>
      </c>
      <c r="AL48" s="93">
        <v>8861.6835</v>
      </c>
    </row>
    <row r="49" spans="1:31" s="29" customFormat="1" ht="15">
      <c r="A49" s="64"/>
      <c r="C49" s="63"/>
      <c r="E49" s="63"/>
      <c r="H49" s="57"/>
      <c r="K49" s="58"/>
      <c r="O49" s="59"/>
      <c r="P49" s="60"/>
      <c r="Q49" s="60"/>
      <c r="R49" s="60"/>
      <c r="S49" s="61"/>
      <c r="T49" s="60"/>
      <c r="U49" s="60"/>
      <c r="V49"/>
      <c r="W49" s="60"/>
      <c r="X49" s="62"/>
      <c r="Z49" s="134"/>
      <c r="AE49"/>
    </row>
    <row r="50" spans="1:38" s="63" customFormat="1" ht="15">
      <c r="A50" s="64"/>
      <c r="B50" s="29"/>
      <c r="D50" s="29"/>
      <c r="F50" s="29"/>
      <c r="G50" s="29"/>
      <c r="H50" s="57"/>
      <c r="I50" s="29"/>
      <c r="J50" s="29"/>
      <c r="K50" s="58"/>
      <c r="L50" s="29"/>
      <c r="M50" s="29"/>
      <c r="N50" s="29"/>
      <c r="O50" s="59"/>
      <c r="P50" s="60"/>
      <c r="Q50" s="60"/>
      <c r="R50" s="60"/>
      <c r="S50" s="61"/>
      <c r="T50" s="60"/>
      <c r="U50" s="60"/>
      <c r="V50"/>
      <c r="W50" s="60"/>
      <c r="X50" s="62"/>
      <c r="Y50" s="29"/>
      <c r="Z50" s="134"/>
      <c r="AA50" s="29"/>
      <c r="AB50" s="29"/>
      <c r="AE50"/>
      <c r="AF50" s="29"/>
      <c r="AG50" s="29"/>
      <c r="AH50" s="29"/>
      <c r="AI50" s="29"/>
      <c r="AJ50" s="29"/>
      <c r="AK50" s="29"/>
      <c r="AL50" s="29"/>
    </row>
    <row r="51" spans="1:38" s="29" customFormat="1" ht="15">
      <c r="A51" s="64"/>
      <c r="C51" s="63"/>
      <c r="E51" s="63"/>
      <c r="H51" s="57" t="s">
        <v>82</v>
      </c>
      <c r="I51" s="116">
        <v>50</v>
      </c>
      <c r="J51" s="52">
        <v>0</v>
      </c>
      <c r="K51" s="94">
        <v>216108</v>
      </c>
      <c r="L51" s="55"/>
      <c r="M51" s="54"/>
      <c r="N51" s="54"/>
      <c r="O51" s="54"/>
      <c r="P51" s="93">
        <v>38956.575</v>
      </c>
      <c r="Q51" s="93">
        <v>11184.432682500003</v>
      </c>
      <c r="R51" s="93">
        <v>50141.0076825</v>
      </c>
      <c r="S51" s="93">
        <v>0</v>
      </c>
      <c r="T51" s="93">
        <v>50141.0076825</v>
      </c>
      <c r="U51" s="94">
        <v>165966.9923175</v>
      </c>
      <c r="V51"/>
      <c r="W51" s="111">
        <v>300</v>
      </c>
      <c r="X51" s="112">
        <v>1</v>
      </c>
      <c r="Y51" s="113">
        <v>33193.3984635</v>
      </c>
      <c r="Z51" s="135">
        <v>82983.49615875</v>
      </c>
      <c r="AA51" s="113">
        <v>49790.09769524999</v>
      </c>
      <c r="AB51" s="111">
        <v>0</v>
      </c>
      <c r="AC51" s="112">
        <v>0</v>
      </c>
      <c r="AD51" s="114">
        <v>0</v>
      </c>
      <c r="AE51"/>
      <c r="AF51" s="93">
        <v>32071.575</v>
      </c>
      <c r="AG51" s="93">
        <v>9207.749182500002</v>
      </c>
      <c r="AH51" s="93">
        <v>41279.3241825</v>
      </c>
      <c r="AI51" s="93">
        <v>0</v>
      </c>
      <c r="AJ51" s="93">
        <v>0</v>
      </c>
      <c r="AK51" s="93">
        <v>41279.3241825</v>
      </c>
      <c r="AL51" s="93">
        <v>8861.6835</v>
      </c>
    </row>
    <row r="52" spans="8:52" ht="15">
      <c r="H52" s="57"/>
      <c r="I52" s="29"/>
      <c r="J52" s="29"/>
      <c r="K52" s="58"/>
      <c r="L52" s="29"/>
      <c r="M52" s="29"/>
      <c r="N52" s="29"/>
      <c r="O52" s="59"/>
      <c r="P52" s="60"/>
      <c r="Q52" s="60"/>
      <c r="R52" s="60"/>
      <c r="S52" s="61"/>
      <c r="T52" s="60"/>
      <c r="U52" s="60"/>
      <c r="V52"/>
      <c r="W52" s="60"/>
      <c r="X52" s="62"/>
      <c r="Y52" s="29"/>
      <c r="Z52" s="134"/>
      <c r="AA52" s="29"/>
      <c r="AB52" s="29"/>
      <c r="AC52" s="29"/>
      <c r="AD52" s="29"/>
      <c r="AE52"/>
      <c r="AF52" s="29"/>
      <c r="AG52" s="29"/>
      <c r="AH52" s="29"/>
      <c r="AI52" s="29"/>
      <c r="AJ52" s="29"/>
      <c r="AK52" s="29"/>
      <c r="AL52" s="29"/>
      <c r="AZ52" s="7"/>
    </row>
    <row r="53" spans="8:52" ht="15.75" thickBot="1">
      <c r="H53" s="57" t="s">
        <v>83</v>
      </c>
      <c r="I53" s="116">
        <v>50</v>
      </c>
      <c r="J53" s="52">
        <v>0</v>
      </c>
      <c r="K53" s="94">
        <v>216108</v>
      </c>
      <c r="L53" s="55"/>
      <c r="M53" s="54"/>
      <c r="N53" s="54"/>
      <c r="O53" s="54"/>
      <c r="P53" s="93">
        <v>38956.575</v>
      </c>
      <c r="Q53" s="93">
        <v>11184.432682500003</v>
      </c>
      <c r="R53" s="93">
        <v>50141.0076825</v>
      </c>
      <c r="S53" s="93">
        <v>0</v>
      </c>
      <c r="T53" s="93">
        <v>50141.0076825</v>
      </c>
      <c r="U53" s="94">
        <v>165966.9923175</v>
      </c>
      <c r="V53"/>
      <c r="W53" s="111">
        <v>150</v>
      </c>
      <c r="X53" s="112">
        <v>0.5</v>
      </c>
      <c r="Y53" s="113">
        <v>16596.69923175</v>
      </c>
      <c r="Z53" s="136">
        <v>41491.748079375</v>
      </c>
      <c r="AA53" s="113">
        <v>24895.048847624996</v>
      </c>
      <c r="AB53" s="111">
        <v>150</v>
      </c>
      <c r="AC53" s="112">
        <v>0.5</v>
      </c>
      <c r="AD53" s="114">
        <v>82983.49615875</v>
      </c>
      <c r="AE53"/>
      <c r="AF53" s="93">
        <v>32071.575</v>
      </c>
      <c r="AG53" s="93">
        <v>9207.749182500002</v>
      </c>
      <c r="AH53" s="93">
        <v>41279.3241825</v>
      </c>
      <c r="AI53" s="93">
        <v>0</v>
      </c>
      <c r="AJ53" s="93">
        <v>0</v>
      </c>
      <c r="AK53" s="93">
        <v>41279.3241825</v>
      </c>
      <c r="AL53" s="93">
        <v>8861.6835</v>
      </c>
      <c r="AZ53" s="7"/>
    </row>
    <row r="54" spans="11:52" ht="15">
      <c r="K54" s="58"/>
      <c r="M54" s="7"/>
      <c r="N54" s="7"/>
      <c r="O54" s="7"/>
      <c r="P54" s="60"/>
      <c r="Q54" s="60"/>
      <c r="R54" s="60"/>
      <c r="S54" s="61"/>
      <c r="T54" s="60"/>
      <c r="U54" s="60"/>
      <c r="V54" s="60"/>
      <c r="W54" s="60"/>
      <c r="X54" s="62"/>
      <c r="AF54" s="7"/>
      <c r="AG54" s="7"/>
      <c r="AH54" s="7"/>
      <c r="AI54" s="7"/>
      <c r="AZ54" s="7"/>
    </row>
    <row r="55" spans="11:52" ht="15">
      <c r="K55" s="58"/>
      <c r="M55" s="7"/>
      <c r="N55" s="7"/>
      <c r="O55" s="7"/>
      <c r="P55" s="60"/>
      <c r="Q55" s="60"/>
      <c r="R55" s="60"/>
      <c r="S55" s="61"/>
      <c r="T55" s="60"/>
      <c r="U55" s="60"/>
      <c r="V55" s="60"/>
      <c r="W55" s="60"/>
      <c r="X55" s="62"/>
      <c r="AC55" s="9"/>
      <c r="AD55" s="9"/>
      <c r="AE55" s="9"/>
      <c r="AF55" s="7"/>
      <c r="AG55" s="7"/>
      <c r="AH55" s="7"/>
      <c r="AI55" s="7"/>
      <c r="AZ55" s="7"/>
    </row>
    <row r="56" spans="11:52" ht="15">
      <c r="K56" s="58"/>
      <c r="M56" s="7"/>
      <c r="N56" s="7"/>
      <c r="O56" s="7"/>
      <c r="P56" s="60"/>
      <c r="Q56" s="60"/>
      <c r="R56" s="60"/>
      <c r="S56" s="61"/>
      <c r="T56" s="60"/>
      <c r="U56" s="60"/>
      <c r="V56" s="60"/>
      <c r="W56" s="60"/>
      <c r="X56" s="62"/>
      <c r="AF56" s="7"/>
      <c r="AG56" s="7"/>
      <c r="AH56" s="7"/>
      <c r="AI56" s="7"/>
      <c r="AZ56" s="7"/>
    </row>
    <row r="57" spans="11:52" ht="15">
      <c r="K57" s="58"/>
      <c r="M57" s="7"/>
      <c r="N57" s="7"/>
      <c r="O57" s="7"/>
      <c r="P57" s="60"/>
      <c r="Q57" s="60"/>
      <c r="R57" s="60"/>
      <c r="S57" s="61"/>
      <c r="T57" s="60"/>
      <c r="U57" s="60"/>
      <c r="V57" s="60"/>
      <c r="W57" s="60"/>
      <c r="X57" s="62"/>
      <c r="AF57" s="7"/>
      <c r="AG57" s="7"/>
      <c r="AH57" s="7"/>
      <c r="AI57" s="7"/>
      <c r="AZ57" s="7"/>
    </row>
    <row r="58" spans="11:52" ht="15">
      <c r="K58" s="58"/>
      <c r="M58" s="7"/>
      <c r="N58" s="7"/>
      <c r="O58" s="7"/>
      <c r="P58" s="60"/>
      <c r="Q58" s="60"/>
      <c r="R58" s="60"/>
      <c r="S58" s="61"/>
      <c r="T58" s="60"/>
      <c r="U58" s="60"/>
      <c r="V58" s="60"/>
      <c r="W58" s="60"/>
      <c r="X58" s="62"/>
      <c r="AF58" s="7"/>
      <c r="AG58" s="7"/>
      <c r="AH58" s="7"/>
      <c r="AI58" s="7"/>
      <c r="AZ58" s="7"/>
    </row>
    <row r="59" spans="2:31" s="9" customFormat="1" ht="15">
      <c r="B59" s="65"/>
      <c r="C59" s="65"/>
      <c r="H59" s="65"/>
      <c r="K59" s="58"/>
      <c r="P59" s="60"/>
      <c r="Q59" s="60"/>
      <c r="R59" s="60"/>
      <c r="S59" s="61"/>
      <c r="T59" s="60"/>
      <c r="U59" s="60"/>
      <c r="V59" s="60"/>
      <c r="W59" s="60"/>
      <c r="X59" s="62"/>
      <c r="AC59" s="7"/>
      <c r="AD59" s="7"/>
      <c r="AE59" s="7"/>
    </row>
    <row r="60" spans="11:52" ht="15">
      <c r="K60" s="58"/>
      <c r="M60" s="7"/>
      <c r="N60" s="7"/>
      <c r="O60" s="7"/>
      <c r="P60" s="60"/>
      <c r="Q60" s="60"/>
      <c r="R60" s="60"/>
      <c r="S60" s="61"/>
      <c r="T60" s="60"/>
      <c r="U60" s="60"/>
      <c r="V60" s="60"/>
      <c r="W60" s="60"/>
      <c r="X60" s="62"/>
      <c r="AF60" s="7"/>
      <c r="AG60" s="7"/>
      <c r="AH60" s="7"/>
      <c r="AI60" s="7"/>
      <c r="AZ60" s="7"/>
    </row>
    <row r="61" spans="13:52" ht="15">
      <c r="M61" s="7"/>
      <c r="N61" s="7"/>
      <c r="O61" s="7"/>
      <c r="AF61" s="7"/>
      <c r="AG61" s="7"/>
      <c r="AH61" s="7"/>
      <c r="AI61" s="7"/>
      <c r="AZ61" s="7"/>
    </row>
    <row r="62" spans="13:52" ht="15">
      <c r="M62" s="7"/>
      <c r="N62" s="7"/>
      <c r="O62" s="7"/>
      <c r="AF62" s="7"/>
      <c r="AG62" s="7"/>
      <c r="AH62" s="7"/>
      <c r="AI62" s="7"/>
      <c r="AZ62" s="7"/>
    </row>
    <row r="63" spans="13:52" ht="15">
      <c r="M63" s="7"/>
      <c r="N63" s="7"/>
      <c r="O63" s="7"/>
      <c r="AF63" s="7"/>
      <c r="AG63" s="7"/>
      <c r="AH63" s="7"/>
      <c r="AI63" s="7"/>
      <c r="AZ63" s="7"/>
    </row>
    <row r="64" spans="13:52" ht="15">
      <c r="M64" s="7"/>
      <c r="N64" s="7"/>
      <c r="O64" s="7"/>
      <c r="AF64" s="7"/>
      <c r="AG64" s="7"/>
      <c r="AH64" s="7"/>
      <c r="AI64" s="7"/>
      <c r="AZ64" s="7"/>
    </row>
    <row r="65" spans="13:52" ht="15">
      <c r="M65" s="7"/>
      <c r="N65" s="7"/>
      <c r="O65" s="7"/>
      <c r="AF65" s="7"/>
      <c r="AG65" s="7"/>
      <c r="AH65" s="7"/>
      <c r="AI65" s="7"/>
      <c r="AZ65" s="7"/>
    </row>
    <row r="66" spans="13:52" ht="15">
      <c r="M66" s="7"/>
      <c r="N66" s="7"/>
      <c r="O66" s="7"/>
      <c r="AF66" s="7"/>
      <c r="AG66" s="7"/>
      <c r="AH66" s="7"/>
      <c r="AI66" s="7"/>
      <c r="AZ66" s="7"/>
    </row>
    <row r="67" spans="13:52" ht="15">
      <c r="M67" s="7"/>
      <c r="N67" s="7"/>
      <c r="O67" s="7"/>
      <c r="AF67" s="7"/>
      <c r="AG67" s="7"/>
      <c r="AH67" s="7"/>
      <c r="AI67" s="7"/>
      <c r="AZ67" s="7"/>
    </row>
    <row r="68" spans="13:52" ht="15">
      <c r="M68" s="7"/>
      <c r="N68" s="7"/>
      <c r="O68" s="7"/>
      <c r="AF68" s="7"/>
      <c r="AG68" s="7"/>
      <c r="AH68" s="7"/>
      <c r="AI68" s="7"/>
      <c r="AZ68" s="7"/>
    </row>
    <row r="69" spans="13:52" ht="15">
      <c r="M69" s="7"/>
      <c r="N69" s="7"/>
      <c r="O69" s="7"/>
      <c r="AF69" s="7"/>
      <c r="AG69" s="7"/>
      <c r="AH69" s="7"/>
      <c r="AI69" s="7"/>
      <c r="AZ69" s="7"/>
    </row>
    <row r="70" spans="13:52" ht="15">
      <c r="M70" s="7"/>
      <c r="N70" s="7"/>
      <c r="O70" s="7"/>
      <c r="AF70" s="7"/>
      <c r="AG70" s="7"/>
      <c r="AH70" s="7"/>
      <c r="AI70" s="7"/>
      <c r="AZ70" s="7"/>
    </row>
    <row r="71" spans="13:52" ht="15">
      <c r="M71" s="7"/>
      <c r="N71" s="7"/>
      <c r="O71" s="7"/>
      <c r="AF71" s="7"/>
      <c r="AG71" s="7"/>
      <c r="AH71" s="7"/>
      <c r="AI71" s="7"/>
      <c r="AZ71" s="7"/>
    </row>
    <row r="72" spans="13:52" ht="15">
      <c r="M72" s="7"/>
      <c r="N72" s="7"/>
      <c r="O72" s="7"/>
      <c r="AF72" s="7"/>
      <c r="AG72" s="7"/>
      <c r="AH72" s="7"/>
      <c r="AI72" s="7"/>
      <c r="AZ72" s="7"/>
    </row>
    <row r="73" spans="13:52" ht="15">
      <c r="M73" s="7"/>
      <c r="N73" s="7"/>
      <c r="O73" s="7"/>
      <c r="AF73" s="7"/>
      <c r="AG73" s="7"/>
      <c r="AH73" s="7"/>
      <c r="AI73" s="7"/>
      <c r="AZ73" s="7"/>
    </row>
    <row r="74" spans="13:52" ht="15">
      <c r="M74" s="7"/>
      <c r="N74" s="7"/>
      <c r="O74" s="7"/>
      <c r="AF74" s="7"/>
      <c r="AG74" s="7"/>
      <c r="AH74" s="7"/>
      <c r="AI74" s="7"/>
      <c r="AZ74" s="7"/>
    </row>
    <row r="75" spans="13:52" ht="15">
      <c r="M75" s="7"/>
      <c r="N75" s="7"/>
      <c r="O75" s="7"/>
      <c r="AF75" s="7"/>
      <c r="AG75" s="7"/>
      <c r="AH75" s="7"/>
      <c r="AI75" s="7"/>
      <c r="AZ75" s="7"/>
    </row>
    <row r="76" spans="13:52" ht="15">
      <c r="M76" s="7"/>
      <c r="N76" s="7"/>
      <c r="O76" s="7"/>
      <c r="AF76" s="7"/>
      <c r="AG76" s="7"/>
      <c r="AH76" s="7"/>
      <c r="AI76" s="7"/>
      <c r="AZ76" s="7"/>
    </row>
    <row r="77" spans="13:52" ht="15">
      <c r="M77" s="7"/>
      <c r="N77" s="7"/>
      <c r="O77" s="7"/>
      <c r="AF77" s="7"/>
      <c r="AG77" s="7"/>
      <c r="AH77" s="7"/>
      <c r="AI77" s="7"/>
      <c r="AZ77" s="7"/>
    </row>
    <row r="78" spans="13:52" ht="15">
      <c r="M78" s="7"/>
      <c r="N78" s="7"/>
      <c r="O78" s="7"/>
      <c r="AF78" s="7"/>
      <c r="AG78" s="7"/>
      <c r="AH78" s="7"/>
      <c r="AI78" s="7"/>
      <c r="AZ78" s="7"/>
    </row>
    <row r="79" spans="13:52" ht="15">
      <c r="M79" s="7"/>
      <c r="N79" s="7"/>
      <c r="O79" s="7"/>
      <c r="AF79" s="7"/>
      <c r="AG79" s="7"/>
      <c r="AH79" s="7"/>
      <c r="AI79" s="7"/>
      <c r="AZ79" s="7"/>
    </row>
  </sheetData>
  <mergeCells count="17">
    <mergeCell ref="G21:G29"/>
    <mergeCell ref="AU10:AX10"/>
    <mergeCell ref="AF8:AI8"/>
    <mergeCell ref="AF9:AH9"/>
    <mergeCell ref="AI9:AJ9"/>
    <mergeCell ref="A1:H1"/>
    <mergeCell ref="G6:H6"/>
    <mergeCell ref="AK8:AK9"/>
    <mergeCell ref="AB9:AD9"/>
    <mergeCell ref="A2:H2"/>
    <mergeCell ref="A3:H3"/>
    <mergeCell ref="W9:X9"/>
    <mergeCell ref="A9:O9"/>
    <mergeCell ref="W8:AD8"/>
    <mergeCell ref="P8:U8"/>
    <mergeCell ref="P9:T9"/>
    <mergeCell ref="G8:H8"/>
  </mergeCells>
  <dataValidations count="2">
    <dataValidation type="list" allowBlank="1" showInputMessage="1" showErrorMessage="1" sqref="G12:G17">
      <formula1>Table!$A$1:$A$12</formula1>
    </dataValidation>
    <dataValidation type="list" allowBlank="1" showInputMessage="1" showErrorMessage="1" sqref="L12:L17">
      <formula1>Table!$E$1:$E$12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9"/>
  <sheetViews>
    <sheetView workbookViewId="0" topLeftCell="A1">
      <pane xSplit="7" ySplit="11" topLeftCell="H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8.8515625" defaultRowHeight="15"/>
  <cols>
    <col min="1" max="1" width="9.140625" style="7" customWidth="1"/>
    <col min="2" max="2" width="7.421875" style="49" bestFit="1" customWidth="1"/>
    <col min="3" max="3" width="9.140625" style="49" customWidth="1"/>
    <col min="4" max="4" width="34.7109375" style="7" customWidth="1"/>
    <col min="5" max="5" width="8.8515625" style="7" customWidth="1"/>
    <col min="6" max="6" width="9.140625" style="7" customWidth="1"/>
    <col min="7" max="7" width="34.28125" style="7" bestFit="1" customWidth="1"/>
    <col min="8" max="8" width="9.140625" style="49" customWidth="1"/>
    <col min="9" max="9" width="11.28125" style="7" customWidth="1"/>
    <col min="10" max="10" width="11.8515625" style="7" customWidth="1"/>
    <col min="11" max="11" width="12.421875" style="7" bestFit="1" customWidth="1"/>
    <col min="12" max="12" width="12.421875" style="7" customWidth="1"/>
    <col min="13" max="13" width="12.421875" style="6" customWidth="1"/>
    <col min="14" max="14" width="10.28125" style="6" customWidth="1"/>
    <col min="15" max="15" width="11.421875" style="6" bestFit="1" customWidth="1"/>
    <col min="16" max="17" width="11.421875" style="7" bestFit="1" customWidth="1"/>
    <col min="18" max="18" width="15.00390625" style="7" customWidth="1"/>
    <col min="19" max="19" width="12.421875" style="36" bestFit="1" customWidth="1"/>
    <col min="20" max="20" width="14.8515625" style="7" bestFit="1" customWidth="1"/>
    <col min="21" max="21" width="15.00390625" style="7" customWidth="1"/>
    <col min="22" max="22" width="4.421875" style="7" customWidth="1"/>
    <col min="23" max="23" width="11.421875" style="7" bestFit="1" customWidth="1"/>
    <col min="24" max="24" width="11.28125" style="50" bestFit="1" customWidth="1"/>
    <col min="25" max="25" width="15.00390625" style="7" bestFit="1" customWidth="1"/>
    <col min="26" max="27" width="11.421875" style="7" bestFit="1" customWidth="1"/>
    <col min="28" max="28" width="10.421875" style="7" bestFit="1" customWidth="1"/>
    <col min="29" max="29" width="8.8515625" style="7" bestFit="1" customWidth="1"/>
    <col min="30" max="30" width="11.421875" style="7" bestFit="1" customWidth="1"/>
    <col min="31" max="31" width="4.421875" style="7" customWidth="1"/>
    <col min="32" max="32" width="11.421875" style="66" bestFit="1" customWidth="1"/>
    <col min="33" max="33" width="10.421875" style="36" bestFit="1" customWidth="1"/>
    <col min="34" max="34" width="11.421875" style="66" bestFit="1" customWidth="1"/>
    <col min="35" max="35" width="11.8515625" style="66" customWidth="1"/>
    <col min="36" max="36" width="15.28125" style="7" bestFit="1" customWidth="1"/>
    <col min="37" max="37" width="11.8515625" style="7" customWidth="1"/>
    <col min="38" max="38" width="16.421875" style="7" bestFit="1" customWidth="1"/>
    <col min="39" max="47" width="11.8515625" style="7" customWidth="1"/>
    <col min="48" max="48" width="8.8515625" style="7" customWidth="1"/>
    <col min="49" max="51" width="9.140625" style="7" customWidth="1"/>
    <col min="52" max="52" width="9.140625" style="37" customWidth="1"/>
    <col min="53" max="16384" width="8.8515625" style="7" customWidth="1"/>
  </cols>
  <sheetData>
    <row r="1" spans="1:51" ht="15.75">
      <c r="A1" s="217" t="s">
        <v>52</v>
      </c>
      <c r="B1" s="217"/>
      <c r="C1" s="217"/>
      <c r="D1" s="217"/>
      <c r="E1" s="217"/>
      <c r="F1" s="217"/>
      <c r="G1" s="217"/>
      <c r="H1" s="217"/>
      <c r="AA1" s="1"/>
      <c r="AB1" s="1"/>
      <c r="AF1" s="3"/>
      <c r="AG1" s="2"/>
      <c r="AH1" s="3"/>
      <c r="AI1" s="3"/>
      <c r="AK1" s="1"/>
      <c r="AL1" s="1"/>
      <c r="AM1" s="1"/>
      <c r="AN1" s="1"/>
      <c r="AO1" s="1"/>
      <c r="AP1" s="1"/>
      <c r="AQ1" s="1"/>
      <c r="AR1" s="1"/>
      <c r="AS1" s="4"/>
      <c r="AT1" s="4"/>
      <c r="AU1" s="4"/>
      <c r="AW1" s="36"/>
      <c r="AX1" s="36"/>
      <c r="AY1" s="36"/>
    </row>
    <row r="2" spans="1:51" ht="15.75">
      <c r="A2" s="224" t="s">
        <v>99</v>
      </c>
      <c r="B2" s="224"/>
      <c r="C2" s="224"/>
      <c r="D2" s="224"/>
      <c r="E2" s="224"/>
      <c r="F2" s="224"/>
      <c r="G2" s="224"/>
      <c r="H2" s="224"/>
      <c r="AA2" s="1"/>
      <c r="AB2" s="1"/>
      <c r="AF2" s="3"/>
      <c r="AG2" s="2"/>
      <c r="AH2" s="3"/>
      <c r="AI2" s="3"/>
      <c r="AK2" s="1"/>
      <c r="AL2" s="1"/>
      <c r="AM2" s="1"/>
      <c r="AN2" s="1"/>
      <c r="AO2" s="1"/>
      <c r="AP2" s="1"/>
      <c r="AQ2" s="1"/>
      <c r="AR2" s="1"/>
      <c r="AS2" s="4"/>
      <c r="AT2" s="4"/>
      <c r="AU2" s="4"/>
      <c r="AW2" s="36"/>
      <c r="AX2" s="36"/>
      <c r="AY2" s="36"/>
    </row>
    <row r="3" spans="1:51" ht="18.75">
      <c r="A3" s="225"/>
      <c r="B3" s="225"/>
      <c r="C3" s="225"/>
      <c r="D3" s="225"/>
      <c r="E3" s="225"/>
      <c r="F3" s="225"/>
      <c r="G3" s="225"/>
      <c r="H3" s="225"/>
      <c r="AA3" s="1"/>
      <c r="AB3" s="1"/>
      <c r="AF3" s="3"/>
      <c r="AG3" s="2"/>
      <c r="AH3" s="3"/>
      <c r="AI3" s="3"/>
      <c r="AK3" s="1"/>
      <c r="AL3" s="1"/>
      <c r="AM3" s="1"/>
      <c r="AN3" s="1"/>
      <c r="AO3" s="1"/>
      <c r="AP3" s="1"/>
      <c r="AQ3" s="1"/>
      <c r="AR3" s="1"/>
      <c r="AS3" s="40"/>
      <c r="AT3" s="40"/>
      <c r="AU3" s="40"/>
      <c r="AW3" s="36"/>
      <c r="AX3" s="36"/>
      <c r="AY3" s="36"/>
    </row>
    <row r="4" spans="1:51" ht="15.75">
      <c r="A4" s="124"/>
      <c r="B4" s="124"/>
      <c r="C4" s="124"/>
      <c r="D4" s="124"/>
      <c r="E4" s="124"/>
      <c r="F4" s="124"/>
      <c r="G4" s="124"/>
      <c r="H4" s="124"/>
      <c r="AA4" s="1"/>
      <c r="AB4" s="1"/>
      <c r="AF4" s="3"/>
      <c r="AG4" s="2"/>
      <c r="AH4" s="3"/>
      <c r="AI4" s="3"/>
      <c r="AK4" s="1"/>
      <c r="AL4" s="1"/>
      <c r="AM4" s="1"/>
      <c r="AN4" s="1"/>
      <c r="AO4" s="1"/>
      <c r="AP4" s="1"/>
      <c r="AQ4" s="1"/>
      <c r="AR4" s="1"/>
      <c r="AS4" s="40"/>
      <c r="AT4" s="40"/>
      <c r="AU4" s="40"/>
      <c r="AW4" s="36"/>
      <c r="AX4" s="36"/>
      <c r="AY4" s="36"/>
    </row>
    <row r="5" spans="1:51" ht="16.5" thickBot="1">
      <c r="A5" s="30"/>
      <c r="B5" s="46"/>
      <c r="C5" s="46"/>
      <c r="D5" s="1"/>
      <c r="E5" s="1"/>
      <c r="F5" s="1"/>
      <c r="G5" s="1"/>
      <c r="H5" s="46"/>
      <c r="I5" s="1"/>
      <c r="J5" s="4"/>
      <c r="K5" s="4"/>
      <c r="L5" s="4"/>
      <c r="M5" s="10"/>
      <c r="N5" s="10"/>
      <c r="O5" s="10"/>
      <c r="P5" s="4"/>
      <c r="Q5" s="1"/>
      <c r="R5" s="1"/>
      <c r="S5" s="2"/>
      <c r="T5" s="1"/>
      <c r="U5" s="1"/>
      <c r="V5" s="1"/>
      <c r="W5" s="1"/>
      <c r="X5" s="33"/>
      <c r="Y5" s="1"/>
      <c r="Z5" s="1"/>
      <c r="AA5" s="1"/>
      <c r="AF5" s="7"/>
      <c r="AG5" s="7"/>
      <c r="AH5" s="7"/>
      <c r="AI5" s="7"/>
      <c r="AW5" s="36"/>
      <c r="AX5" s="36"/>
      <c r="AY5" s="36"/>
    </row>
    <row r="6" spans="7:52" ht="15.75" customHeight="1" thickBot="1">
      <c r="G6" s="218" t="s">
        <v>80</v>
      </c>
      <c r="H6" s="219"/>
      <c r="I6" s="86" t="s">
        <v>98</v>
      </c>
      <c r="J6" s="92" t="s">
        <v>100</v>
      </c>
      <c r="K6" s="4"/>
      <c r="L6" s="10"/>
      <c r="M6" s="10"/>
      <c r="N6" s="10"/>
      <c r="O6" s="4"/>
      <c r="P6" s="1"/>
      <c r="Q6" s="1"/>
      <c r="R6" s="2"/>
      <c r="S6" s="1"/>
      <c r="T6" s="1"/>
      <c r="U6" s="1"/>
      <c r="V6" s="1"/>
      <c r="W6" s="33"/>
      <c r="X6" s="1"/>
      <c r="Y6" s="1"/>
      <c r="Z6" s="1"/>
      <c r="AB6"/>
      <c r="AC6"/>
      <c r="AD6"/>
      <c r="AF6" s="7"/>
      <c r="AG6" s="7"/>
      <c r="AH6" s="7"/>
      <c r="AI6" s="7"/>
      <c r="AV6" s="36"/>
      <c r="AW6" s="36"/>
      <c r="AX6" s="36"/>
      <c r="AY6" s="37"/>
      <c r="AZ6" s="7"/>
    </row>
    <row r="7" spans="9:51" ht="16.5" thickBot="1">
      <c r="I7" s="1"/>
      <c r="J7" s="4"/>
      <c r="K7"/>
      <c r="L7" s="4"/>
      <c r="M7" s="10"/>
      <c r="N7" s="10"/>
      <c r="O7" s="10"/>
      <c r="P7" s="4"/>
      <c r="Q7" s="1"/>
      <c r="R7" s="1"/>
      <c r="S7" s="2"/>
      <c r="T7" s="1"/>
      <c r="U7" s="1"/>
      <c r="V7" s="1"/>
      <c r="W7" s="1"/>
      <c r="X7" s="33"/>
      <c r="Y7" s="1"/>
      <c r="Z7" s="1"/>
      <c r="AA7" s="1"/>
      <c r="AC7"/>
      <c r="AD7"/>
      <c r="AE7"/>
      <c r="AF7" s="7"/>
      <c r="AG7" s="7"/>
      <c r="AH7" s="7"/>
      <c r="AI7" s="7"/>
      <c r="AW7" s="36"/>
      <c r="AX7" s="36"/>
      <c r="AY7" s="36"/>
    </row>
    <row r="8" spans="7:51" ht="15" customHeight="1" thickBot="1">
      <c r="G8" s="235" t="s">
        <v>79</v>
      </c>
      <c r="H8" s="236"/>
      <c r="I8" s="85">
        <v>28</v>
      </c>
      <c r="J8" s="92" t="s">
        <v>81</v>
      </c>
      <c r="K8"/>
      <c r="P8" s="231"/>
      <c r="Q8" s="231"/>
      <c r="R8" s="231"/>
      <c r="S8" s="231"/>
      <c r="T8" s="231"/>
      <c r="U8" s="231"/>
      <c r="V8"/>
      <c r="W8" s="230"/>
      <c r="X8" s="230"/>
      <c r="Y8" s="230"/>
      <c r="Z8" s="230"/>
      <c r="AA8" s="230"/>
      <c r="AB8" s="230"/>
      <c r="AC8" s="230"/>
      <c r="AD8" s="230"/>
      <c r="AE8"/>
      <c r="AF8" s="241" t="s">
        <v>2</v>
      </c>
      <c r="AG8" s="241"/>
      <c r="AH8" s="241"/>
      <c r="AI8" s="241"/>
      <c r="AJ8" s="13" t="s">
        <v>3</v>
      </c>
      <c r="AK8" s="220"/>
      <c r="AL8" s="14" t="s">
        <v>4</v>
      </c>
      <c r="AW8" s="36"/>
      <c r="AX8" s="36"/>
      <c r="AY8" s="36"/>
    </row>
    <row r="9" spans="1:52" s="68" customFormat="1" ht="33" customHeight="1" thickBo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232" t="s">
        <v>5</v>
      </c>
      <c r="Q9" s="233"/>
      <c r="R9" s="233"/>
      <c r="S9" s="233"/>
      <c r="T9" s="234"/>
      <c r="U9" s="69"/>
      <c r="V9" s="110"/>
      <c r="W9" s="226"/>
      <c r="X9" s="227"/>
      <c r="Y9" s="126">
        <v>0.2</v>
      </c>
      <c r="Z9" s="130">
        <v>0.5</v>
      </c>
      <c r="AA9" s="128">
        <v>0.3</v>
      </c>
      <c r="AB9" s="222"/>
      <c r="AC9" s="223"/>
      <c r="AD9" s="223"/>
      <c r="AE9" s="110"/>
      <c r="AF9" s="242" t="s">
        <v>6</v>
      </c>
      <c r="AG9" s="243"/>
      <c r="AH9" s="244"/>
      <c r="AI9" s="242" t="s">
        <v>7</v>
      </c>
      <c r="AJ9" s="244"/>
      <c r="AK9" s="221"/>
      <c r="AL9" s="70" t="s">
        <v>8</v>
      </c>
      <c r="AW9" s="71"/>
      <c r="AX9" s="71"/>
      <c r="AY9" s="71"/>
      <c r="AZ9" s="72"/>
    </row>
    <row r="10" spans="1:50" s="6" customFormat="1" ht="50.1" customHeight="1" thickBo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74" t="s">
        <v>14</v>
      </c>
      <c r="G10" s="91" t="s">
        <v>96</v>
      </c>
      <c r="H10" s="89" t="s">
        <v>16</v>
      </c>
      <c r="I10" s="16" t="s">
        <v>1</v>
      </c>
      <c r="J10" s="16" t="s">
        <v>66</v>
      </c>
      <c r="K10" s="74" t="s">
        <v>67</v>
      </c>
      <c r="L10" s="138" t="s">
        <v>68</v>
      </c>
      <c r="M10" s="137" t="s">
        <v>17</v>
      </c>
      <c r="N10" s="51" t="s">
        <v>69</v>
      </c>
      <c r="O10" s="51" t="s">
        <v>70</v>
      </c>
      <c r="P10" s="73" t="s">
        <v>18</v>
      </c>
      <c r="Q10" s="73" t="s">
        <v>19</v>
      </c>
      <c r="R10" s="73" t="s">
        <v>20</v>
      </c>
      <c r="S10" s="18" t="s">
        <v>21</v>
      </c>
      <c r="T10" s="18" t="s">
        <v>22</v>
      </c>
      <c r="U10" s="19" t="s">
        <v>23</v>
      </c>
      <c r="V10" s="110"/>
      <c r="W10" s="20" t="s">
        <v>24</v>
      </c>
      <c r="X10" s="21" t="s">
        <v>25</v>
      </c>
      <c r="Y10" s="127" t="s">
        <v>26</v>
      </c>
      <c r="Z10" s="131" t="s">
        <v>27</v>
      </c>
      <c r="AA10" s="129" t="s">
        <v>4</v>
      </c>
      <c r="AB10" s="20" t="s">
        <v>28</v>
      </c>
      <c r="AC10" s="22" t="s">
        <v>29</v>
      </c>
      <c r="AD10" s="23" t="s">
        <v>30</v>
      </c>
      <c r="AE10" s="110"/>
      <c r="AF10" s="17" t="s">
        <v>18</v>
      </c>
      <c r="AG10" s="17" t="s">
        <v>19</v>
      </c>
      <c r="AH10" s="17" t="s">
        <v>20</v>
      </c>
      <c r="AI10" s="17" t="s">
        <v>21</v>
      </c>
      <c r="AJ10" s="17" t="s">
        <v>31</v>
      </c>
      <c r="AK10" s="17" t="s">
        <v>22</v>
      </c>
      <c r="AL10" s="17" t="s">
        <v>32</v>
      </c>
      <c r="AU10" s="240"/>
      <c r="AV10" s="240"/>
      <c r="AW10" s="240"/>
      <c r="AX10" s="240"/>
    </row>
    <row r="11" spans="1:50" s="9" customFormat="1" ht="15" customHeight="1" thickBot="1">
      <c r="A11" s="52"/>
      <c r="B11" s="67"/>
      <c r="C11" s="53"/>
      <c r="D11" s="52"/>
      <c r="E11" s="52"/>
      <c r="F11" s="87"/>
      <c r="G11" s="90"/>
      <c r="H11" s="88"/>
      <c r="I11" s="52">
        <f>SUM(I12:I17)</f>
        <v>168</v>
      </c>
      <c r="J11" s="52">
        <f>SUM(J12:J13)</f>
        <v>0</v>
      </c>
      <c r="K11" s="94">
        <f>SUM(K12:K17)</f>
        <v>121020.48000000001</v>
      </c>
      <c r="L11" s="55"/>
      <c r="M11" s="54"/>
      <c r="N11" s="54"/>
      <c r="O11" s="54"/>
      <c r="P11" s="93">
        <f aca="true" t="shared" si="0" ref="P11:U11">SUM(P12:P17)</f>
        <v>39735.7065</v>
      </c>
      <c r="Q11" s="93">
        <f t="shared" si="0"/>
        <v>11408.121336150001</v>
      </c>
      <c r="R11" s="93">
        <f t="shared" si="0"/>
        <v>51143.82783615</v>
      </c>
      <c r="S11" s="93">
        <f t="shared" si="0"/>
        <v>0</v>
      </c>
      <c r="T11" s="93">
        <f t="shared" si="0"/>
        <v>51143.82783615</v>
      </c>
      <c r="U11" s="94">
        <f t="shared" si="0"/>
        <v>69876.65216385001</v>
      </c>
      <c r="V11"/>
      <c r="W11" s="24">
        <f>SUM(W12:W17)</f>
        <v>168</v>
      </c>
      <c r="X11" s="25">
        <f>W11/I11</f>
        <v>1</v>
      </c>
      <c r="Y11" s="97">
        <f>SUM(Y12:Y17)</f>
        <v>13975.330432770003</v>
      </c>
      <c r="Z11" s="132">
        <f>SUM(Z12:Z17)</f>
        <v>34938.326081925006</v>
      </c>
      <c r="AA11" s="97">
        <f>SUM(AA12:AA17)</f>
        <v>20962.995649155004</v>
      </c>
      <c r="AB11" s="24">
        <f>SUM(AB12:AB17)</f>
        <v>0</v>
      </c>
      <c r="AC11" s="25">
        <f>AB11/I11</f>
        <v>0</v>
      </c>
      <c r="AD11" s="94">
        <f>SUM(AD12:AD17)</f>
        <v>0</v>
      </c>
      <c r="AE11"/>
      <c r="AF11" s="93">
        <f>SUM(AF12:AF17)</f>
        <v>32713.0065</v>
      </c>
      <c r="AG11" s="93">
        <f>SUM(AG12:AG17)</f>
        <v>9391.904166150001</v>
      </c>
      <c r="AH11" s="93">
        <f>SUM(AH12:AH17)</f>
        <v>42104.91066615</v>
      </c>
      <c r="AI11" s="93">
        <f aca="true" t="shared" si="1" ref="AI11:AJ11">SUM(AI12:AI17)</f>
        <v>0</v>
      </c>
      <c r="AJ11" s="93">
        <f t="shared" si="1"/>
        <v>0</v>
      </c>
      <c r="AK11" s="93">
        <f>SUM(AK12:AK17)</f>
        <v>42104.91066615</v>
      </c>
      <c r="AL11" s="93">
        <f>SUM(AL12:AL17)</f>
        <v>9038.91717</v>
      </c>
      <c r="AM11" s="7"/>
      <c r="AN11" s="7"/>
      <c r="AO11" s="7"/>
      <c r="AP11" s="7"/>
      <c r="AQ11" s="7"/>
      <c r="AR11" s="7"/>
      <c r="AS11" s="7"/>
      <c r="AX11" s="11"/>
    </row>
    <row r="12" spans="1:38" s="29" customFormat="1" ht="15">
      <c r="A12" s="26" t="s">
        <v>33</v>
      </c>
      <c r="B12" s="125">
        <v>1023</v>
      </c>
      <c r="C12" s="7" t="s">
        <v>34</v>
      </c>
      <c r="D12" s="29" t="s">
        <v>38</v>
      </c>
      <c r="E12" s="7" t="s">
        <v>0</v>
      </c>
      <c r="F12" t="s">
        <v>36</v>
      </c>
      <c r="G12" s="75" t="s">
        <v>73</v>
      </c>
      <c r="H12" s="5">
        <v>3</v>
      </c>
      <c r="I12" s="29">
        <f aca="true" t="shared" si="2" ref="I12:I17">$I$8</f>
        <v>28</v>
      </c>
      <c r="K12" s="100">
        <f>IF(E12="UGRD",H12*I12*'FY19 Table'!$G$7,IF(E12="GRAD",H12*I12*'FY19 Table'!$G$8))</f>
        <v>20170.08</v>
      </c>
      <c r="L12" s="139" t="s">
        <v>47</v>
      </c>
      <c r="N12" s="29">
        <f>VLOOKUP(G12,'FY19 Table'!$A$1:C20,3,FALSE)</f>
        <v>1</v>
      </c>
      <c r="O12" s="101">
        <f>VLOOKUP(G12,'FY19 Table'!$A$1:B20,2,FALSE)</f>
        <v>61200</v>
      </c>
      <c r="P12" s="95">
        <f>IF(O12="A1","$4,000.00",(IF(O12="A2","$5,000.00",(IF(O12="A3","$5,000.00",(IF(L12="TTIN",H12*O12*0.025,IF(L12="TTIR",H12*O12*0.025,(IF(L12="O",H12*O12*0.025,(IF(L12="CIN",H12*O12*0.025,(IF(L12="CIR",H12*O12*0.025,(IF(L12="IR",H12*O12*0.025,(IF(L12="IN",H12*O12*0.025,(IF(L12="GA",H12*O12*0.025,(IF(L12="CISP",H12*O12*0.04))))))))))))))))))))))</f>
        <v>7344</v>
      </c>
      <c r="Q12" s="95">
        <f>IF(N12=1,P12*'FY19 Table'!$G$1,IF(N12=2,P12*'FY19 Table'!$G$6,IF(N12=3,P12*'FY19 Table'!$G$2,IF(N12=4,P12*'FY19 Table'!$G$4,IF(N12=5,P12*'FY19 Table'!$G$3,)))))</f>
        <v>2108.4624000000003</v>
      </c>
      <c r="R12" s="95">
        <f aca="true" t="shared" si="3" ref="R12:R17">P12+Q12</f>
        <v>9452.4624</v>
      </c>
      <c r="S12" s="95"/>
      <c r="T12" s="95">
        <f aca="true" t="shared" si="4" ref="T12:T17">R12+S12</f>
        <v>9452.4624</v>
      </c>
      <c r="U12" s="96">
        <f aca="true" t="shared" si="5" ref="U12:U17">K12-T12</f>
        <v>10717.617600000001</v>
      </c>
      <c r="V12"/>
      <c r="W12" s="15">
        <f aca="true" t="shared" si="6" ref="W12:W17">IF($I$6="O",I12,(IF($I$6="B",I12/2,)))</f>
        <v>28</v>
      </c>
      <c r="X12" s="27">
        <f>W12/I12</f>
        <v>1</v>
      </c>
      <c r="Y12" s="98">
        <f aca="true" t="shared" si="7" ref="Y12:Y17">(X12*U12)*$Y$9</f>
        <v>2143.52352</v>
      </c>
      <c r="Z12" s="133">
        <f aca="true" t="shared" si="8" ref="Z12:Z17">(X12*U12)*$Z$9</f>
        <v>5358.808800000001</v>
      </c>
      <c r="AA12" s="98">
        <f aca="true" t="shared" si="9" ref="AA12:AA17">(X12*U12)*$AA$9</f>
        <v>3215.2852800000005</v>
      </c>
      <c r="AB12" s="12">
        <f>I12-W12</f>
        <v>0</v>
      </c>
      <c r="AC12" s="27">
        <f>AB12/I12</f>
        <v>0</v>
      </c>
      <c r="AD12" s="96">
        <f aca="true" t="shared" si="10" ref="AD12">U12*AC12</f>
        <v>0</v>
      </c>
      <c r="AE12"/>
      <c r="AF12" s="99">
        <f aca="true" t="shared" si="11" ref="AF12:AF17">IF(L12="TTIN","0.00",(IF(L12="CIN","0.00",(IF(L12="IN","0.00",P12)))))</f>
        <v>7344</v>
      </c>
      <c r="AG12" s="99">
        <f aca="true" t="shared" si="12" ref="AG12:AG17">IF(L12="TTIN","0.00",(IF(L12="CIN","0.00",(IF(L12="IN","0.00",Q12)))))</f>
        <v>2108.4624000000003</v>
      </c>
      <c r="AH12" s="99">
        <f aca="true" t="shared" si="13" ref="AH12:AH17">IF(L12="TTIN","0.00",(IF(L12="CIN","0.00",(IF(L12="IN","0.00",R12)))))</f>
        <v>9452.4624</v>
      </c>
      <c r="AI12" s="95"/>
      <c r="AJ12" s="95"/>
      <c r="AK12" s="95">
        <f aca="true" t="shared" si="14" ref="AK12:AK17">AH12+AI12+AJ12</f>
        <v>9452.4624</v>
      </c>
      <c r="AL12" s="95">
        <f aca="true" t="shared" si="15" ref="AL12">T12-AK12</f>
        <v>0</v>
      </c>
    </row>
    <row r="13" spans="1:38" s="29" customFormat="1" ht="15">
      <c r="A13" s="26" t="s">
        <v>33</v>
      </c>
      <c r="B13" s="125">
        <v>1033</v>
      </c>
      <c r="C13" s="7" t="s">
        <v>34</v>
      </c>
      <c r="D13" s="29" t="s">
        <v>37</v>
      </c>
      <c r="E13" s="7" t="s">
        <v>0</v>
      </c>
      <c r="F13" t="s">
        <v>36</v>
      </c>
      <c r="G13" s="75" t="s">
        <v>73</v>
      </c>
      <c r="H13" s="5">
        <v>3</v>
      </c>
      <c r="I13" s="29">
        <f t="shared" si="2"/>
        <v>28</v>
      </c>
      <c r="K13" s="100">
        <f>IF(E13="UGRD",H13*I13*'FY19 Table'!$G$7,IF(E13="GRAD",H13*I13*'FY19 Table'!$G$8))</f>
        <v>20170.08</v>
      </c>
      <c r="L13" s="140" t="s">
        <v>47</v>
      </c>
      <c r="N13" s="29">
        <f>VLOOKUP(G13,'FY19 Table'!$A$1:C20,3,FALSE)</f>
        <v>1</v>
      </c>
      <c r="O13" s="101">
        <f>VLOOKUP(G13,'FY19 Table'!$A$1:B20,2,FALSE)</f>
        <v>61200</v>
      </c>
      <c r="P13" s="95">
        <f>IF(O13="A1","$4,000.00",(IF(O13="A2","$5,000.00",(IF(O13="A3","$5,000.00",(IF(L13="TTIN",H13*O13*0.025,IF(L13="TTIR",H13*O13*0.025,(IF(L13="O",H13*O13*0.025,(IF(L13="CIN",H13*O13*0.025,(IF(L13="CIR",H13*O13*0.025,(IF(L13="IR",H13*O13*0.025,(IF(L13="IN",H13*O13*0.025,(IF(L13="GA",H13*O13*0.025,(IF(L13="CISP",H13*O13*0.04))))))))))))))))))))))</f>
        <v>7344</v>
      </c>
      <c r="Q13" s="95">
        <f>IF(N13=1,P13*'FY19 Table'!$G$1,IF(N13=2,P13*'FY19 Table'!$G$6,IF(N13=3,P13*'FY19 Table'!$G$2,IF(N13=4,P13*'FY19 Table'!$G$4,IF(N13=5,P13*'FY19 Table'!$G$3,)))))</f>
        <v>2108.4624000000003</v>
      </c>
      <c r="R13" s="95">
        <f t="shared" si="3"/>
        <v>9452.4624</v>
      </c>
      <c r="S13" s="95"/>
      <c r="T13" s="95">
        <f t="shared" si="4"/>
        <v>9452.4624</v>
      </c>
      <c r="U13" s="96">
        <f t="shared" si="5"/>
        <v>10717.617600000001</v>
      </c>
      <c r="V13"/>
      <c r="W13" s="15">
        <f t="shared" si="6"/>
        <v>28</v>
      </c>
      <c r="X13" s="27">
        <f aca="true" t="shared" si="16" ref="X13:X17">W13/I13</f>
        <v>1</v>
      </c>
      <c r="Y13" s="98">
        <f t="shared" si="7"/>
        <v>2143.52352</v>
      </c>
      <c r="Z13" s="133">
        <f t="shared" si="8"/>
        <v>5358.808800000001</v>
      </c>
      <c r="AA13" s="98">
        <f t="shared" si="9"/>
        <v>3215.2852800000005</v>
      </c>
      <c r="AB13" s="12">
        <f aca="true" t="shared" si="17" ref="AB13:AB17">I13-W13</f>
        <v>0</v>
      </c>
      <c r="AC13" s="27">
        <f aca="true" t="shared" si="18" ref="AC13:AC17">AB13/I13</f>
        <v>0</v>
      </c>
      <c r="AD13" s="96">
        <f>U13*AC13</f>
        <v>0</v>
      </c>
      <c r="AE13"/>
      <c r="AF13" s="99">
        <f t="shared" si="11"/>
        <v>7344</v>
      </c>
      <c r="AG13" s="99">
        <f t="shared" si="12"/>
        <v>2108.4624000000003</v>
      </c>
      <c r="AH13" s="99">
        <f t="shared" si="13"/>
        <v>9452.4624</v>
      </c>
      <c r="AI13" s="95"/>
      <c r="AJ13" s="95"/>
      <c r="AK13" s="95">
        <f t="shared" si="14"/>
        <v>9452.4624</v>
      </c>
      <c r="AL13" s="95">
        <f>T13-AK13</f>
        <v>0</v>
      </c>
    </row>
    <row r="14" spans="1:38" s="29" customFormat="1" ht="15">
      <c r="A14" s="26" t="s">
        <v>33</v>
      </c>
      <c r="B14" s="125">
        <v>2003</v>
      </c>
      <c r="C14" s="7" t="s">
        <v>34</v>
      </c>
      <c r="D14" s="29" t="s">
        <v>39</v>
      </c>
      <c r="E14" s="7" t="s">
        <v>0</v>
      </c>
      <c r="F14" t="s">
        <v>36</v>
      </c>
      <c r="G14" s="75" t="s">
        <v>73</v>
      </c>
      <c r="H14" s="5">
        <v>3</v>
      </c>
      <c r="I14" s="29">
        <f t="shared" si="2"/>
        <v>28</v>
      </c>
      <c r="K14" s="100">
        <f>IF(E14="UGRD",H14*I14*'FY19 Table'!$G$7,IF(E14="GRAD",H14*I14*'FY19 Table'!$G$8))</f>
        <v>20170.08</v>
      </c>
      <c r="L14" s="140" t="s">
        <v>47</v>
      </c>
      <c r="N14" s="29">
        <f>VLOOKUP(G14,'FY19 Table'!$A$1:C20,3,FALSE)</f>
        <v>1</v>
      </c>
      <c r="O14" s="101">
        <f>VLOOKUP(G14,'FY19 Table'!$A$1:B20,2,FALSE)</f>
        <v>61200</v>
      </c>
      <c r="P14" s="95">
        <f aca="true" t="shared" si="19" ref="P14:P17">IF(O14="A1","$4,000.00",(IF(O14="A2","$5,000.00",(IF(O14="A3","$5,000.00",(IF(L14="TTIN",H14*O14*0.025,IF(L14="TTIR",H14*O14*0.025,(IF(L14="O",H14*O14*0.025,(IF(L14="CIN",H14*O14*0.025,(IF(L14="CIR",H14*O14*0.025,(IF(L14="IR",H14*O14*0.025,(IF(L14="IN",H14*O14*0.025,(IF(L14="GA",H14*O14*0.025,(IF(L14="CISP",H14*O14*0.04))))))))))))))))))))))</f>
        <v>7344</v>
      </c>
      <c r="Q14" s="95">
        <f>IF(N14=1,P14*'FY19 Table'!$G$1,IF(N14=2,P14*'FY19 Table'!$G$6,IF(N14=3,P14*'FY19 Table'!$G$2,IF(N14=4,P14*'FY19 Table'!$G$4,IF(N14=5,P14*'FY19 Table'!$G$3,)))))</f>
        <v>2108.4624000000003</v>
      </c>
      <c r="R14" s="95">
        <f t="shared" si="3"/>
        <v>9452.4624</v>
      </c>
      <c r="S14" s="95"/>
      <c r="T14" s="95">
        <f t="shared" si="4"/>
        <v>9452.4624</v>
      </c>
      <c r="U14" s="96">
        <f t="shared" si="5"/>
        <v>10717.617600000001</v>
      </c>
      <c r="V14"/>
      <c r="W14" s="15">
        <f t="shared" si="6"/>
        <v>28</v>
      </c>
      <c r="X14" s="27">
        <f t="shared" si="16"/>
        <v>1</v>
      </c>
      <c r="Y14" s="98">
        <f t="shared" si="7"/>
        <v>2143.52352</v>
      </c>
      <c r="Z14" s="133">
        <f t="shared" si="8"/>
        <v>5358.808800000001</v>
      </c>
      <c r="AA14" s="98">
        <f t="shared" si="9"/>
        <v>3215.2852800000005</v>
      </c>
      <c r="AB14" s="12">
        <f t="shared" si="17"/>
        <v>0</v>
      </c>
      <c r="AC14" s="27">
        <f t="shared" si="18"/>
        <v>0</v>
      </c>
      <c r="AD14" s="96">
        <f>U14*AC14</f>
        <v>0</v>
      </c>
      <c r="AE14"/>
      <c r="AF14" s="99">
        <f t="shared" si="11"/>
        <v>7344</v>
      </c>
      <c r="AG14" s="99">
        <f t="shared" si="12"/>
        <v>2108.4624000000003</v>
      </c>
      <c r="AH14" s="99">
        <f t="shared" si="13"/>
        <v>9452.4624</v>
      </c>
      <c r="AI14" s="95"/>
      <c r="AJ14" s="95"/>
      <c r="AK14" s="95">
        <f t="shared" si="14"/>
        <v>9452.4624</v>
      </c>
      <c r="AL14" s="95">
        <f>T14-AK14</f>
        <v>0</v>
      </c>
    </row>
    <row r="15" spans="1:38" s="29" customFormat="1" ht="15">
      <c r="A15" s="26" t="s">
        <v>33</v>
      </c>
      <c r="B15" s="125">
        <v>2053</v>
      </c>
      <c r="C15" s="7" t="s">
        <v>34</v>
      </c>
      <c r="D15" s="29" t="s">
        <v>40</v>
      </c>
      <c r="E15" s="7" t="s">
        <v>0</v>
      </c>
      <c r="F15" t="s">
        <v>36</v>
      </c>
      <c r="G15" s="75" t="s">
        <v>43</v>
      </c>
      <c r="H15" s="5">
        <v>3</v>
      </c>
      <c r="I15" s="29">
        <f t="shared" si="2"/>
        <v>28</v>
      </c>
      <c r="K15" s="100">
        <f>IF(E15="UGRD",H15*I15*'FY19 Table'!$G$7,IF(E15="GRAD",H15*I15*'FY19 Table'!$G$8))</f>
        <v>20170.08</v>
      </c>
      <c r="L15" s="140" t="s">
        <v>74</v>
      </c>
      <c r="N15" s="29">
        <f>VLOOKUP(G15,'FY19 Table'!$A$1:C20,3,FALSE)</f>
        <v>1</v>
      </c>
      <c r="O15" s="101">
        <f>VLOOKUP(G15,'FY19 Table'!$A$1:B20,2,FALSE)</f>
        <v>44493.42</v>
      </c>
      <c r="P15" s="95">
        <f t="shared" si="19"/>
        <v>3337.0065000000004</v>
      </c>
      <c r="Q15" s="95">
        <f>IF(N15=1,P15*'FY19 Table'!$G$1,IF(N15=2,P15*'FY19 Table'!$G$6,IF(N15=3,P15*'FY19 Table'!$G$2,IF(N15=4,P15*'FY19 Table'!$G$4,IF(N15=5,P15*'FY19 Table'!$G$3,)))))</f>
        <v>958.0545661500001</v>
      </c>
      <c r="R15" s="95">
        <f t="shared" si="3"/>
        <v>4295.06106615</v>
      </c>
      <c r="S15" s="95"/>
      <c r="T15" s="95">
        <f t="shared" si="4"/>
        <v>4295.06106615</v>
      </c>
      <c r="U15" s="96">
        <f t="shared" si="5"/>
        <v>15875.018933850002</v>
      </c>
      <c r="V15"/>
      <c r="W15" s="15">
        <f t="shared" si="6"/>
        <v>28</v>
      </c>
      <c r="X15" s="27">
        <f t="shared" si="16"/>
        <v>1</v>
      </c>
      <c r="Y15" s="98">
        <f t="shared" si="7"/>
        <v>3175.0037867700007</v>
      </c>
      <c r="Z15" s="133">
        <f t="shared" si="8"/>
        <v>7937.509466925001</v>
      </c>
      <c r="AA15" s="98">
        <f t="shared" si="9"/>
        <v>4762.505680155001</v>
      </c>
      <c r="AB15" s="12">
        <f t="shared" si="17"/>
        <v>0</v>
      </c>
      <c r="AC15" s="27">
        <f t="shared" si="18"/>
        <v>0</v>
      </c>
      <c r="AD15" s="96">
        <f>U15*AC15</f>
        <v>0</v>
      </c>
      <c r="AE15"/>
      <c r="AF15" s="99">
        <f t="shared" si="11"/>
        <v>3337.0065000000004</v>
      </c>
      <c r="AG15" s="99">
        <f t="shared" si="12"/>
        <v>958.0545661500001</v>
      </c>
      <c r="AH15" s="99">
        <f t="shared" si="13"/>
        <v>4295.06106615</v>
      </c>
      <c r="AI15" s="95"/>
      <c r="AJ15" s="95"/>
      <c r="AK15" s="95">
        <f t="shared" si="14"/>
        <v>4295.06106615</v>
      </c>
      <c r="AL15" s="95">
        <f>T15-AK15</f>
        <v>0</v>
      </c>
    </row>
    <row r="16" spans="1:38" s="29" customFormat="1" ht="15">
      <c r="A16" s="26" t="s">
        <v>33</v>
      </c>
      <c r="B16" s="125">
        <v>3633</v>
      </c>
      <c r="C16" s="7" t="s">
        <v>34</v>
      </c>
      <c r="D16" s="29" t="s">
        <v>35</v>
      </c>
      <c r="E16" s="7" t="s">
        <v>0</v>
      </c>
      <c r="F16" t="s">
        <v>36</v>
      </c>
      <c r="G16" s="75" t="s">
        <v>73</v>
      </c>
      <c r="H16" s="5">
        <v>3</v>
      </c>
      <c r="I16" s="29">
        <f t="shared" si="2"/>
        <v>28</v>
      </c>
      <c r="K16" s="100">
        <f>IF(E16="UGRD",H16*I16*'FY19 Table'!$G$7,IF(E16="GRAD",H16*I16*'FY19 Table'!$G$8))</f>
        <v>20170.08</v>
      </c>
      <c r="L16" s="140" t="s">
        <v>47</v>
      </c>
      <c r="N16" s="29">
        <f>VLOOKUP(G16,'FY19 Table'!$A$1:C24,3,FALSE)</f>
        <v>1</v>
      </c>
      <c r="O16" s="101">
        <f>VLOOKUP(G16,'FY19 Table'!$A$1:B24,2,FALSE)</f>
        <v>61200</v>
      </c>
      <c r="P16" s="95">
        <f t="shared" si="19"/>
        <v>7344</v>
      </c>
      <c r="Q16" s="95">
        <f>IF(N16=1,P16*'FY19 Table'!$G$1,IF(N16=2,P16*'FY19 Table'!$G$6,IF(N16=3,P16*'FY19 Table'!$G$2,IF(N16=4,P16*'FY19 Table'!$G$4,IF(N16=5,P16*'FY19 Table'!$G$3,)))))</f>
        <v>2108.4624000000003</v>
      </c>
      <c r="R16" s="95">
        <f t="shared" si="3"/>
        <v>9452.4624</v>
      </c>
      <c r="S16" s="95"/>
      <c r="T16" s="95">
        <f t="shared" si="4"/>
        <v>9452.4624</v>
      </c>
      <c r="U16" s="96">
        <f t="shared" si="5"/>
        <v>10717.617600000001</v>
      </c>
      <c r="V16"/>
      <c r="W16" s="15">
        <f t="shared" si="6"/>
        <v>28</v>
      </c>
      <c r="X16" s="27">
        <f t="shared" si="16"/>
        <v>1</v>
      </c>
      <c r="Y16" s="98">
        <f t="shared" si="7"/>
        <v>2143.52352</v>
      </c>
      <c r="Z16" s="133">
        <f t="shared" si="8"/>
        <v>5358.808800000001</v>
      </c>
      <c r="AA16" s="98">
        <f t="shared" si="9"/>
        <v>3215.2852800000005</v>
      </c>
      <c r="AB16" s="12">
        <f t="shared" si="17"/>
        <v>0</v>
      </c>
      <c r="AC16" s="27">
        <f t="shared" si="18"/>
        <v>0</v>
      </c>
      <c r="AD16" s="96">
        <f>U16*AC16</f>
        <v>0</v>
      </c>
      <c r="AE16"/>
      <c r="AF16" s="99">
        <f t="shared" si="11"/>
        <v>7344</v>
      </c>
      <c r="AG16" s="99">
        <f t="shared" si="12"/>
        <v>2108.4624000000003</v>
      </c>
      <c r="AH16" s="99">
        <f t="shared" si="13"/>
        <v>9452.4624</v>
      </c>
      <c r="AI16" s="95"/>
      <c r="AJ16" s="95"/>
      <c r="AK16" s="95">
        <f t="shared" si="14"/>
        <v>9452.4624</v>
      </c>
      <c r="AL16" s="95">
        <f>T16-AK16</f>
        <v>0</v>
      </c>
    </row>
    <row r="17" spans="1:38" s="29" customFormat="1" ht="15.75" thickBot="1">
      <c r="A17" s="26" t="s">
        <v>33</v>
      </c>
      <c r="B17" s="125">
        <v>4333</v>
      </c>
      <c r="C17" s="7" t="s">
        <v>34</v>
      </c>
      <c r="D17" s="29" t="s">
        <v>41</v>
      </c>
      <c r="E17" s="7" t="s">
        <v>0</v>
      </c>
      <c r="F17" t="s">
        <v>36</v>
      </c>
      <c r="G17" s="76" t="s">
        <v>44</v>
      </c>
      <c r="H17" s="5">
        <v>3</v>
      </c>
      <c r="I17" s="29">
        <f t="shared" si="2"/>
        <v>28</v>
      </c>
      <c r="K17" s="100">
        <f>IF(E17="UGRD",H17*I17*'FY19 Table'!$G$7,IF(E17="GRAD",H17*I17*'FY19 Table'!$G$8))</f>
        <v>20170.08</v>
      </c>
      <c r="L17" s="141" t="s">
        <v>77</v>
      </c>
      <c r="N17" s="29">
        <f>VLOOKUP(G17,'FY19 Table'!$A$1:C25,3,FALSE)</f>
        <v>1</v>
      </c>
      <c r="O17" s="101">
        <f>VLOOKUP(G17,'FY19 Table'!$A$1:B25,2,FALSE)</f>
        <v>93636</v>
      </c>
      <c r="P17" s="95">
        <f t="shared" si="19"/>
        <v>7022.700000000001</v>
      </c>
      <c r="Q17" s="95">
        <f>IF(N17=1,P17*'FY19 Table'!$G$1,IF(N17=2,P17*'FY19 Table'!$G$6,IF(N17=3,P17*'FY19 Table'!$G$2,IF(N17=4,P17*'FY19 Table'!$G$4,IF(N17=5,P17*'FY19 Table'!$G$3,)))))</f>
        <v>2016.2171700000004</v>
      </c>
      <c r="R17" s="95">
        <f t="shared" si="3"/>
        <v>9038.91717</v>
      </c>
      <c r="S17" s="95"/>
      <c r="T17" s="95">
        <f t="shared" si="4"/>
        <v>9038.91717</v>
      </c>
      <c r="U17" s="96">
        <f t="shared" si="5"/>
        <v>11131.162830000001</v>
      </c>
      <c r="V17"/>
      <c r="W17" s="15">
        <f t="shared" si="6"/>
        <v>28</v>
      </c>
      <c r="X17" s="27">
        <f t="shared" si="16"/>
        <v>1</v>
      </c>
      <c r="Y17" s="98">
        <f t="shared" si="7"/>
        <v>2226.232566</v>
      </c>
      <c r="Z17" s="133">
        <f t="shared" si="8"/>
        <v>5565.581415000001</v>
      </c>
      <c r="AA17" s="98">
        <f t="shared" si="9"/>
        <v>3339.3488490000004</v>
      </c>
      <c r="AB17" s="12">
        <f t="shared" si="17"/>
        <v>0</v>
      </c>
      <c r="AC17" s="27">
        <f t="shared" si="18"/>
        <v>0</v>
      </c>
      <c r="AD17" s="96">
        <f>U17*AC17</f>
        <v>0</v>
      </c>
      <c r="AE17"/>
      <c r="AF17" s="99" t="str">
        <f t="shared" si="11"/>
        <v>0.00</v>
      </c>
      <c r="AG17" s="99" t="str">
        <f t="shared" si="12"/>
        <v>0.00</v>
      </c>
      <c r="AH17" s="99" t="str">
        <f t="shared" si="13"/>
        <v>0.00</v>
      </c>
      <c r="AI17" s="95"/>
      <c r="AJ17" s="95"/>
      <c r="AK17" s="95">
        <f t="shared" si="14"/>
        <v>0</v>
      </c>
      <c r="AL17" s="95">
        <f>T17-AK17</f>
        <v>9038.91717</v>
      </c>
    </row>
    <row r="18" spans="26:38" ht="15">
      <c r="Z18" s="77"/>
      <c r="AF18" s="28"/>
      <c r="AG18" s="28"/>
      <c r="AH18" s="28"/>
      <c r="AI18" s="28"/>
      <c r="AJ18" s="28"/>
      <c r="AK18" s="28"/>
      <c r="AL18" s="28"/>
    </row>
    <row r="19" spans="1:38" s="29" customFormat="1" ht="15">
      <c r="A19" s="56"/>
      <c r="H19" s="57"/>
      <c r="K19" s="58"/>
      <c r="O19" s="59"/>
      <c r="P19" s="60"/>
      <c r="Q19" s="60"/>
      <c r="R19" s="60"/>
      <c r="S19"/>
      <c r="T19"/>
      <c r="U19"/>
      <c r="V19"/>
      <c r="W19"/>
      <c r="X19"/>
      <c r="Y19"/>
      <c r="Z19" s="77"/>
      <c r="AA19"/>
      <c r="AB19"/>
      <c r="AC19"/>
      <c r="AD19"/>
      <c r="AE19"/>
      <c r="AF19" s="28"/>
      <c r="AG19" s="28"/>
      <c r="AH19" s="28"/>
      <c r="AI19" s="28"/>
      <c r="AJ19" s="28"/>
      <c r="AK19" s="28"/>
      <c r="AL19" s="28"/>
    </row>
    <row r="20" spans="1:31" s="29" customFormat="1" ht="15">
      <c r="A20" s="56"/>
      <c r="H20" s="57"/>
      <c r="K20" s="58"/>
      <c r="O20" s="59"/>
      <c r="P20" s="60"/>
      <c r="Q20" s="60"/>
      <c r="R20" s="60"/>
      <c r="S20" s="61"/>
      <c r="T20" s="60"/>
      <c r="U20" s="60"/>
      <c r="V20"/>
      <c r="W20" s="60"/>
      <c r="X20" s="62"/>
      <c r="Z20" s="134"/>
      <c r="AE20"/>
    </row>
    <row r="21" spans="1:38" s="29" customFormat="1" ht="15">
      <c r="A21" s="56"/>
      <c r="G21" s="237" t="s">
        <v>97</v>
      </c>
      <c r="H21" s="57"/>
      <c r="I21" s="63"/>
      <c r="J21" s="63"/>
      <c r="K21" s="144"/>
      <c r="L21" s="145"/>
      <c r="M21" s="146"/>
      <c r="N21" s="146"/>
      <c r="O21" s="146"/>
      <c r="P21" s="147"/>
      <c r="Q21" s="147"/>
      <c r="R21" s="147"/>
      <c r="S21" s="147"/>
      <c r="T21" s="147"/>
      <c r="U21" s="144"/>
      <c r="V21" s="148"/>
      <c r="W21" s="149"/>
      <c r="X21" s="150"/>
      <c r="Y21" s="151"/>
      <c r="Z21" s="152"/>
      <c r="AA21" s="151"/>
      <c r="AB21" s="149"/>
      <c r="AC21" s="150"/>
      <c r="AD21" s="144"/>
      <c r="AE21" s="148"/>
      <c r="AF21" s="147"/>
      <c r="AG21" s="147"/>
      <c r="AH21" s="147"/>
      <c r="AI21" s="147"/>
      <c r="AJ21" s="147"/>
      <c r="AK21" s="147"/>
      <c r="AL21" s="147"/>
    </row>
    <row r="22" spans="1:31" s="29" customFormat="1" ht="15">
      <c r="A22" s="56"/>
      <c r="G22" s="238"/>
      <c r="H22" s="57"/>
      <c r="K22" s="58"/>
      <c r="O22" s="59"/>
      <c r="P22" s="60"/>
      <c r="Q22" s="60"/>
      <c r="R22" s="60"/>
      <c r="S22" s="61"/>
      <c r="T22" s="60"/>
      <c r="U22" s="60"/>
      <c r="V22" s="148"/>
      <c r="W22" s="60"/>
      <c r="X22" s="62"/>
      <c r="Z22" s="134"/>
      <c r="AE22" s="148"/>
    </row>
    <row r="23" spans="1:38" s="29" customFormat="1" ht="15">
      <c r="A23" s="56"/>
      <c r="G23" s="238"/>
      <c r="H23" s="57"/>
      <c r="I23" s="63"/>
      <c r="J23" s="63"/>
      <c r="K23" s="144"/>
      <c r="L23" s="145"/>
      <c r="M23" s="146"/>
      <c r="N23" s="146"/>
      <c r="O23" s="146"/>
      <c r="P23" s="147"/>
      <c r="Q23" s="147"/>
      <c r="R23" s="147"/>
      <c r="S23" s="147"/>
      <c r="T23" s="147"/>
      <c r="U23" s="144"/>
      <c r="V23" s="148"/>
      <c r="W23" s="149"/>
      <c r="X23" s="150"/>
      <c r="Y23" s="151"/>
      <c r="Z23" s="152"/>
      <c r="AA23" s="151"/>
      <c r="AB23" s="149"/>
      <c r="AC23" s="150"/>
      <c r="AD23" s="144"/>
      <c r="AE23" s="148"/>
      <c r="AF23" s="147"/>
      <c r="AG23" s="147"/>
      <c r="AH23" s="147"/>
      <c r="AI23" s="147"/>
      <c r="AJ23" s="147"/>
      <c r="AK23" s="147"/>
      <c r="AL23" s="147"/>
    </row>
    <row r="24" spans="1:31" s="29" customFormat="1" ht="15">
      <c r="A24" s="56"/>
      <c r="G24" s="238"/>
      <c r="H24" s="57"/>
      <c r="K24" s="58"/>
      <c r="O24" s="59"/>
      <c r="P24" s="60"/>
      <c r="Q24" s="60"/>
      <c r="R24" s="60"/>
      <c r="S24" s="61"/>
      <c r="T24" s="60"/>
      <c r="U24" s="60"/>
      <c r="V24" s="148"/>
      <c r="W24" s="60"/>
      <c r="X24" s="62"/>
      <c r="Z24" s="134"/>
      <c r="AE24" s="148"/>
    </row>
    <row r="25" spans="1:31" s="29" customFormat="1" ht="15">
      <c r="A25" s="56"/>
      <c r="G25" s="238"/>
      <c r="H25" s="57"/>
      <c r="K25" s="58"/>
      <c r="O25" s="59"/>
      <c r="P25" s="60"/>
      <c r="Q25" s="60"/>
      <c r="R25" s="60"/>
      <c r="S25" s="61"/>
      <c r="T25" s="60"/>
      <c r="U25" s="60"/>
      <c r="V25" s="148"/>
      <c r="W25" s="60"/>
      <c r="X25" s="62"/>
      <c r="Z25" s="134"/>
      <c r="AC25" s="63"/>
      <c r="AD25" s="63"/>
      <c r="AE25" s="148"/>
    </row>
    <row r="26" spans="1:38" s="63" customFormat="1" ht="15">
      <c r="A26" s="56"/>
      <c r="B26" s="29"/>
      <c r="C26" s="29"/>
      <c r="D26" s="29"/>
      <c r="E26" s="29"/>
      <c r="F26" s="29"/>
      <c r="G26" s="238"/>
      <c r="H26" s="57"/>
      <c r="K26" s="144"/>
      <c r="L26" s="145"/>
      <c r="M26" s="146"/>
      <c r="N26" s="146"/>
      <c r="O26" s="146"/>
      <c r="P26" s="147"/>
      <c r="Q26" s="147"/>
      <c r="R26" s="147"/>
      <c r="S26" s="147"/>
      <c r="T26" s="147"/>
      <c r="U26" s="144"/>
      <c r="V26" s="148"/>
      <c r="W26" s="149"/>
      <c r="X26" s="150"/>
      <c r="Y26" s="151"/>
      <c r="Z26" s="152"/>
      <c r="AA26" s="151"/>
      <c r="AB26" s="149"/>
      <c r="AC26" s="150"/>
      <c r="AD26" s="144"/>
      <c r="AE26" s="148"/>
      <c r="AF26" s="147"/>
      <c r="AG26" s="147"/>
      <c r="AH26" s="147"/>
      <c r="AI26" s="147"/>
      <c r="AJ26" s="147"/>
      <c r="AK26" s="147"/>
      <c r="AL26" s="147"/>
    </row>
    <row r="27" spans="1:31" s="29" customFormat="1" ht="15">
      <c r="A27" s="56"/>
      <c r="G27" s="238"/>
      <c r="H27" s="57"/>
      <c r="K27" s="58"/>
      <c r="O27" s="59"/>
      <c r="P27" s="60"/>
      <c r="Q27" s="60"/>
      <c r="R27" s="60"/>
      <c r="S27" s="61"/>
      <c r="T27" s="60"/>
      <c r="U27" s="60"/>
      <c r="V27" s="148"/>
      <c r="W27" s="60"/>
      <c r="X27" s="62"/>
      <c r="Z27" s="134"/>
      <c r="AE27" s="148"/>
    </row>
    <row r="28" spans="1:38" s="29" customFormat="1" ht="15">
      <c r="A28" s="56"/>
      <c r="G28" s="238"/>
      <c r="H28" s="57"/>
      <c r="I28" s="63"/>
      <c r="J28" s="63"/>
      <c r="K28" s="144"/>
      <c r="L28" s="145"/>
      <c r="M28" s="146"/>
      <c r="N28" s="146"/>
      <c r="O28" s="146"/>
      <c r="P28" s="147"/>
      <c r="Q28" s="147"/>
      <c r="R28" s="147"/>
      <c r="S28" s="147"/>
      <c r="T28" s="147"/>
      <c r="U28" s="144"/>
      <c r="V28" s="148"/>
      <c r="W28" s="149"/>
      <c r="X28" s="150"/>
      <c r="Y28" s="151"/>
      <c r="Z28" s="152"/>
      <c r="AA28" s="151"/>
      <c r="AB28" s="149"/>
      <c r="AC28" s="150"/>
      <c r="AD28" s="144"/>
      <c r="AE28" s="148"/>
      <c r="AF28" s="147"/>
      <c r="AG28" s="147"/>
      <c r="AH28" s="147"/>
      <c r="AI28" s="147"/>
      <c r="AJ28" s="147"/>
      <c r="AK28" s="147"/>
      <c r="AL28" s="147"/>
    </row>
    <row r="29" spans="1:31" s="29" customFormat="1" ht="15">
      <c r="A29" s="56"/>
      <c r="G29" s="239"/>
      <c r="H29" s="57"/>
      <c r="K29" s="58"/>
      <c r="O29" s="59"/>
      <c r="P29" s="60"/>
      <c r="Q29" s="60"/>
      <c r="R29" s="60"/>
      <c r="S29" s="61"/>
      <c r="T29" s="60"/>
      <c r="U29" s="60"/>
      <c r="V29" s="148"/>
      <c r="W29" s="60"/>
      <c r="X29" s="62"/>
      <c r="Z29" s="134"/>
      <c r="AE29" s="148"/>
    </row>
    <row r="30" spans="1:31" s="29" customFormat="1" ht="15">
      <c r="A30" s="56"/>
      <c r="H30" s="57"/>
      <c r="K30" s="58"/>
      <c r="O30" s="59"/>
      <c r="P30" s="60"/>
      <c r="Q30" s="60"/>
      <c r="R30" s="60"/>
      <c r="S30" s="61"/>
      <c r="T30" s="60"/>
      <c r="U30" s="60"/>
      <c r="V30" s="148"/>
      <c r="W30" s="60"/>
      <c r="X30" s="62"/>
      <c r="Z30" s="134"/>
      <c r="AE30" s="148"/>
    </row>
    <row r="31" spans="1:38" s="29" customFormat="1" ht="15">
      <c r="A31" s="56"/>
      <c r="H31" s="57"/>
      <c r="I31" s="63"/>
      <c r="J31" s="63"/>
      <c r="K31" s="144"/>
      <c r="L31" s="145"/>
      <c r="M31" s="146"/>
      <c r="N31" s="146"/>
      <c r="O31" s="146"/>
      <c r="P31" s="147"/>
      <c r="Q31" s="147"/>
      <c r="R31" s="147"/>
      <c r="S31" s="147"/>
      <c r="T31" s="147"/>
      <c r="U31" s="144"/>
      <c r="V31" s="148"/>
      <c r="W31" s="149"/>
      <c r="X31" s="150"/>
      <c r="Y31" s="151"/>
      <c r="Z31" s="152"/>
      <c r="AA31" s="151"/>
      <c r="AB31" s="149"/>
      <c r="AC31" s="150"/>
      <c r="AD31" s="144"/>
      <c r="AE31" s="148"/>
      <c r="AF31" s="147"/>
      <c r="AG31" s="147"/>
      <c r="AH31" s="147"/>
      <c r="AI31" s="147"/>
      <c r="AJ31" s="147"/>
      <c r="AK31" s="147"/>
      <c r="AL31" s="147"/>
    </row>
    <row r="32" spans="1:31" s="29" customFormat="1" ht="15">
      <c r="A32" s="56"/>
      <c r="H32" s="57"/>
      <c r="K32" s="58"/>
      <c r="O32" s="59"/>
      <c r="P32" s="60"/>
      <c r="Q32" s="60"/>
      <c r="R32" s="60"/>
      <c r="S32" s="61"/>
      <c r="T32" s="60"/>
      <c r="U32" s="60"/>
      <c r="V32" s="148"/>
      <c r="W32" s="60"/>
      <c r="X32" s="62"/>
      <c r="Z32" s="134"/>
      <c r="AE32" s="148"/>
    </row>
    <row r="33" spans="1:38" s="29" customFormat="1" ht="15">
      <c r="A33" s="56"/>
      <c r="H33" s="57"/>
      <c r="I33" s="63"/>
      <c r="J33" s="63"/>
      <c r="K33" s="144"/>
      <c r="L33" s="145"/>
      <c r="M33" s="146"/>
      <c r="N33" s="146"/>
      <c r="O33" s="146"/>
      <c r="P33" s="147"/>
      <c r="Q33" s="147"/>
      <c r="R33" s="147"/>
      <c r="S33" s="147"/>
      <c r="T33" s="147"/>
      <c r="U33" s="144"/>
      <c r="V33" s="148"/>
      <c r="W33" s="149"/>
      <c r="X33" s="150"/>
      <c r="Y33" s="151"/>
      <c r="Z33" s="152"/>
      <c r="AA33" s="151"/>
      <c r="AB33" s="149"/>
      <c r="AC33" s="150"/>
      <c r="AD33" s="144"/>
      <c r="AE33" s="148"/>
      <c r="AF33" s="147"/>
      <c r="AG33" s="147"/>
      <c r="AH33" s="147"/>
      <c r="AI33" s="147"/>
      <c r="AJ33" s="147"/>
      <c r="AK33" s="147"/>
      <c r="AL33" s="147"/>
    </row>
    <row r="34" spans="1:31" s="29" customFormat="1" ht="15">
      <c r="A34" s="56"/>
      <c r="H34" s="57"/>
      <c r="K34" s="58"/>
      <c r="O34" s="59"/>
      <c r="P34" s="60"/>
      <c r="Q34" s="60"/>
      <c r="R34" s="60"/>
      <c r="S34" s="61"/>
      <c r="T34" s="60"/>
      <c r="U34" s="60"/>
      <c r="V34" s="148"/>
      <c r="W34" s="60"/>
      <c r="X34" s="62"/>
      <c r="Z34" s="134"/>
      <c r="AE34" s="148"/>
    </row>
    <row r="35" spans="1:31" s="29" customFormat="1" ht="15">
      <c r="A35" s="56"/>
      <c r="H35" s="57"/>
      <c r="K35" s="58"/>
      <c r="O35" s="59"/>
      <c r="P35" s="60"/>
      <c r="Q35" s="60"/>
      <c r="R35" s="60"/>
      <c r="S35" s="61"/>
      <c r="T35" s="60"/>
      <c r="U35" s="60"/>
      <c r="V35" s="148"/>
      <c r="W35" s="60"/>
      <c r="X35" s="62"/>
      <c r="Z35" s="134"/>
      <c r="AE35" s="148"/>
    </row>
    <row r="36" spans="1:38" s="29" customFormat="1" ht="15">
      <c r="A36" s="56"/>
      <c r="H36" s="57"/>
      <c r="I36" s="153"/>
      <c r="J36" s="63"/>
      <c r="K36" s="144"/>
      <c r="L36" s="145"/>
      <c r="M36" s="146"/>
      <c r="N36" s="146"/>
      <c r="O36" s="146"/>
      <c r="P36" s="147"/>
      <c r="Q36" s="147"/>
      <c r="R36" s="147"/>
      <c r="S36" s="147"/>
      <c r="T36" s="147"/>
      <c r="U36" s="144"/>
      <c r="V36" s="148"/>
      <c r="W36" s="149"/>
      <c r="X36" s="150"/>
      <c r="Y36" s="151"/>
      <c r="Z36" s="152"/>
      <c r="AA36" s="151"/>
      <c r="AB36" s="149"/>
      <c r="AC36" s="150"/>
      <c r="AD36" s="144"/>
      <c r="AE36" s="148"/>
      <c r="AF36" s="147"/>
      <c r="AG36" s="147"/>
      <c r="AH36" s="147"/>
      <c r="AI36" s="147"/>
      <c r="AJ36" s="147"/>
      <c r="AK36" s="147"/>
      <c r="AL36" s="147"/>
    </row>
    <row r="37" spans="1:31" s="29" customFormat="1" ht="15">
      <c r="A37" s="56"/>
      <c r="H37" s="57"/>
      <c r="I37" s="119"/>
      <c r="K37" s="58"/>
      <c r="O37" s="59"/>
      <c r="P37" s="60"/>
      <c r="Q37" s="60"/>
      <c r="R37" s="60"/>
      <c r="S37" s="61"/>
      <c r="T37" s="60"/>
      <c r="U37" s="60"/>
      <c r="V37" s="148"/>
      <c r="W37" s="60"/>
      <c r="X37" s="62"/>
      <c r="Z37" s="134"/>
      <c r="AE37" s="148"/>
    </row>
    <row r="38" spans="1:38" s="29" customFormat="1" ht="15">
      <c r="A38" s="56"/>
      <c r="H38" s="57"/>
      <c r="I38" s="153"/>
      <c r="J38" s="63"/>
      <c r="K38" s="144"/>
      <c r="L38" s="145"/>
      <c r="M38" s="146"/>
      <c r="N38" s="146"/>
      <c r="O38" s="146"/>
      <c r="P38" s="147"/>
      <c r="Q38" s="147"/>
      <c r="R38" s="147"/>
      <c r="S38" s="147"/>
      <c r="T38" s="147"/>
      <c r="U38" s="144"/>
      <c r="V38" s="148"/>
      <c r="W38" s="149"/>
      <c r="X38" s="150"/>
      <c r="Y38" s="151"/>
      <c r="Z38" s="152"/>
      <c r="AA38" s="151"/>
      <c r="AB38" s="149"/>
      <c r="AC38" s="150"/>
      <c r="AD38" s="144"/>
      <c r="AE38" s="148"/>
      <c r="AF38" s="147"/>
      <c r="AG38" s="147"/>
      <c r="AH38" s="147"/>
      <c r="AI38" s="147"/>
      <c r="AJ38" s="147"/>
      <c r="AK38" s="147"/>
      <c r="AL38" s="147"/>
    </row>
    <row r="39" spans="1:31" s="29" customFormat="1" ht="15">
      <c r="A39" s="56"/>
      <c r="H39" s="57"/>
      <c r="I39" s="119"/>
      <c r="K39" s="58"/>
      <c r="O39" s="59"/>
      <c r="P39" s="60"/>
      <c r="Q39" s="60"/>
      <c r="R39" s="60"/>
      <c r="S39" s="61"/>
      <c r="T39" s="60"/>
      <c r="U39" s="60"/>
      <c r="V39" s="148"/>
      <c r="W39" s="60"/>
      <c r="X39" s="62"/>
      <c r="Z39" s="134"/>
      <c r="AE39" s="148"/>
    </row>
    <row r="40" spans="1:31" s="29" customFormat="1" ht="15">
      <c r="A40" s="56"/>
      <c r="H40" s="57"/>
      <c r="I40" s="119"/>
      <c r="K40" s="58"/>
      <c r="O40" s="59"/>
      <c r="P40" s="60"/>
      <c r="Q40" s="60"/>
      <c r="R40" s="60"/>
      <c r="S40" s="61"/>
      <c r="T40" s="60"/>
      <c r="U40" s="60"/>
      <c r="V40" s="148"/>
      <c r="W40" s="60"/>
      <c r="X40" s="62"/>
      <c r="Z40" s="134"/>
      <c r="AE40" s="148"/>
    </row>
    <row r="41" spans="1:38" s="29" customFormat="1" ht="15">
      <c r="A41" s="56"/>
      <c r="H41" s="57"/>
      <c r="I41" s="153"/>
      <c r="J41" s="63"/>
      <c r="K41" s="144"/>
      <c r="L41" s="145"/>
      <c r="M41" s="146"/>
      <c r="N41" s="146"/>
      <c r="O41" s="146"/>
      <c r="P41" s="147"/>
      <c r="Q41" s="147"/>
      <c r="R41" s="147"/>
      <c r="S41" s="147"/>
      <c r="T41" s="147"/>
      <c r="U41" s="144"/>
      <c r="V41" s="148"/>
      <c r="W41" s="149"/>
      <c r="X41" s="150"/>
      <c r="Y41" s="151"/>
      <c r="Z41" s="152"/>
      <c r="AA41" s="151"/>
      <c r="AB41" s="149"/>
      <c r="AC41" s="150"/>
      <c r="AD41" s="144"/>
      <c r="AE41" s="148"/>
      <c r="AF41" s="147"/>
      <c r="AG41" s="147"/>
      <c r="AH41" s="147"/>
      <c r="AI41" s="147"/>
      <c r="AJ41" s="147"/>
      <c r="AK41" s="147"/>
      <c r="AL41" s="147"/>
    </row>
    <row r="42" spans="1:31" s="29" customFormat="1" ht="15">
      <c r="A42" s="56"/>
      <c r="H42" s="57"/>
      <c r="I42" s="119"/>
      <c r="K42" s="58"/>
      <c r="O42" s="59"/>
      <c r="P42" s="60"/>
      <c r="Q42" s="60"/>
      <c r="R42" s="60"/>
      <c r="S42" s="61"/>
      <c r="T42" s="60"/>
      <c r="U42" s="60"/>
      <c r="V42" s="148"/>
      <c r="W42" s="60"/>
      <c r="X42" s="62"/>
      <c r="Z42" s="134"/>
      <c r="AE42" s="148"/>
    </row>
    <row r="43" spans="1:38" s="29" customFormat="1" ht="15">
      <c r="A43" s="56"/>
      <c r="H43" s="57"/>
      <c r="I43" s="153"/>
      <c r="J43" s="63"/>
      <c r="K43" s="144"/>
      <c r="L43" s="145"/>
      <c r="M43" s="146"/>
      <c r="N43" s="146"/>
      <c r="O43" s="146"/>
      <c r="P43" s="147"/>
      <c r="Q43" s="147"/>
      <c r="R43" s="147"/>
      <c r="S43" s="147"/>
      <c r="T43" s="147"/>
      <c r="U43" s="144"/>
      <c r="V43" s="148"/>
      <c r="W43" s="149"/>
      <c r="X43" s="150"/>
      <c r="Y43" s="151"/>
      <c r="Z43" s="152"/>
      <c r="AA43" s="151"/>
      <c r="AB43" s="149"/>
      <c r="AC43" s="150"/>
      <c r="AD43" s="144"/>
      <c r="AE43" s="148"/>
      <c r="AF43" s="147"/>
      <c r="AG43" s="147"/>
      <c r="AH43" s="147"/>
      <c r="AI43" s="147"/>
      <c r="AJ43" s="147"/>
      <c r="AK43" s="147"/>
      <c r="AL43" s="147"/>
    </row>
    <row r="44" spans="1:31" s="29" customFormat="1" ht="15">
      <c r="A44" s="56"/>
      <c r="H44" s="57"/>
      <c r="K44" s="58"/>
      <c r="O44" s="59"/>
      <c r="P44" s="60"/>
      <c r="Q44" s="60"/>
      <c r="R44" s="60"/>
      <c r="S44" s="61"/>
      <c r="T44" s="60"/>
      <c r="U44" s="60"/>
      <c r="V44" s="148"/>
      <c r="W44" s="60"/>
      <c r="X44" s="62"/>
      <c r="Z44" s="134"/>
      <c r="AC44" s="63"/>
      <c r="AD44" s="63"/>
      <c r="AE44" s="148"/>
    </row>
    <row r="45" spans="1:31" s="29" customFormat="1" ht="15">
      <c r="A45" s="64"/>
      <c r="C45" s="63"/>
      <c r="E45" s="63"/>
      <c r="H45" s="57"/>
      <c r="K45" s="58"/>
      <c r="O45" s="59"/>
      <c r="P45" s="60"/>
      <c r="Q45" s="60"/>
      <c r="R45" s="60"/>
      <c r="S45" s="61"/>
      <c r="T45" s="60"/>
      <c r="U45" s="60"/>
      <c r="V45" s="148"/>
      <c r="W45" s="60"/>
      <c r="X45" s="62"/>
      <c r="Z45" s="134"/>
      <c r="AE45" s="148"/>
    </row>
    <row r="46" spans="1:38" s="29" customFormat="1" ht="15">
      <c r="A46" s="64"/>
      <c r="C46" s="63"/>
      <c r="E46" s="63"/>
      <c r="H46" s="57"/>
      <c r="I46" s="63"/>
      <c r="J46" s="63"/>
      <c r="K46" s="144"/>
      <c r="L46" s="145"/>
      <c r="M46" s="146"/>
      <c r="N46" s="146"/>
      <c r="O46" s="146"/>
      <c r="P46" s="147"/>
      <c r="Q46" s="147"/>
      <c r="R46" s="147"/>
      <c r="S46" s="147"/>
      <c r="T46" s="147"/>
      <c r="U46" s="144"/>
      <c r="V46" s="148"/>
      <c r="W46" s="149"/>
      <c r="X46" s="150"/>
      <c r="Y46" s="151"/>
      <c r="Z46" s="152"/>
      <c r="AA46" s="151"/>
      <c r="AB46" s="149"/>
      <c r="AC46" s="150"/>
      <c r="AD46" s="144"/>
      <c r="AE46" s="148"/>
      <c r="AF46" s="147"/>
      <c r="AG46" s="147"/>
      <c r="AH46" s="147"/>
      <c r="AI46" s="147"/>
      <c r="AJ46" s="147"/>
      <c r="AK46" s="147"/>
      <c r="AL46" s="147"/>
    </row>
    <row r="47" spans="1:31" s="29" customFormat="1" ht="15">
      <c r="A47" s="64"/>
      <c r="C47" s="63"/>
      <c r="E47" s="63"/>
      <c r="H47" s="57"/>
      <c r="K47" s="58"/>
      <c r="O47" s="59"/>
      <c r="P47" s="60"/>
      <c r="Q47" s="60"/>
      <c r="R47" s="60"/>
      <c r="S47" s="61"/>
      <c r="T47" s="60"/>
      <c r="U47" s="60"/>
      <c r="V47" s="148"/>
      <c r="W47" s="60"/>
      <c r="X47" s="62"/>
      <c r="Z47" s="134"/>
      <c r="AE47" s="148"/>
    </row>
    <row r="48" spans="1:38" s="29" customFormat="1" ht="15">
      <c r="A48" s="64"/>
      <c r="C48" s="63"/>
      <c r="E48" s="63"/>
      <c r="H48" s="57"/>
      <c r="I48" s="63"/>
      <c r="J48" s="63"/>
      <c r="K48" s="144"/>
      <c r="L48" s="145"/>
      <c r="M48" s="146"/>
      <c r="N48" s="146"/>
      <c r="O48" s="146"/>
      <c r="P48" s="147"/>
      <c r="Q48" s="147"/>
      <c r="R48" s="147"/>
      <c r="S48" s="147"/>
      <c r="T48" s="147"/>
      <c r="U48" s="144"/>
      <c r="V48" s="148"/>
      <c r="W48" s="149"/>
      <c r="X48" s="150"/>
      <c r="Y48" s="151"/>
      <c r="Z48" s="152"/>
      <c r="AA48" s="151"/>
      <c r="AB48" s="149"/>
      <c r="AC48" s="150"/>
      <c r="AD48" s="144"/>
      <c r="AE48" s="148"/>
      <c r="AF48" s="147"/>
      <c r="AG48" s="147"/>
      <c r="AH48" s="147"/>
      <c r="AI48" s="147"/>
      <c r="AJ48" s="147"/>
      <c r="AK48" s="147"/>
      <c r="AL48" s="147"/>
    </row>
    <row r="49" spans="1:31" s="29" customFormat="1" ht="15">
      <c r="A49" s="64"/>
      <c r="C49" s="63"/>
      <c r="E49" s="63"/>
      <c r="H49" s="57"/>
      <c r="K49" s="58"/>
      <c r="O49" s="59"/>
      <c r="P49" s="60"/>
      <c r="Q49" s="60"/>
      <c r="R49" s="60"/>
      <c r="S49" s="61"/>
      <c r="T49" s="60"/>
      <c r="U49" s="60"/>
      <c r="V49" s="148"/>
      <c r="W49" s="60"/>
      <c r="X49" s="62"/>
      <c r="Z49" s="134"/>
      <c r="AE49" s="148"/>
    </row>
    <row r="50" spans="1:38" s="63" customFormat="1" ht="15">
      <c r="A50" s="64"/>
      <c r="B50" s="29"/>
      <c r="D50" s="29"/>
      <c r="F50" s="29"/>
      <c r="G50" s="29"/>
      <c r="H50" s="57"/>
      <c r="I50" s="29"/>
      <c r="J50" s="29"/>
      <c r="K50" s="58"/>
      <c r="L50" s="29"/>
      <c r="M50" s="29"/>
      <c r="N50" s="29"/>
      <c r="O50" s="59"/>
      <c r="P50" s="60"/>
      <c r="Q50" s="60"/>
      <c r="R50" s="60"/>
      <c r="S50" s="61"/>
      <c r="T50" s="60"/>
      <c r="U50" s="60"/>
      <c r="V50" s="148"/>
      <c r="W50" s="60"/>
      <c r="X50" s="62"/>
      <c r="Y50" s="29"/>
      <c r="Z50" s="134"/>
      <c r="AA50" s="29"/>
      <c r="AB50" s="29"/>
      <c r="AE50" s="148"/>
      <c r="AF50" s="29"/>
      <c r="AG50" s="29"/>
      <c r="AH50" s="29"/>
      <c r="AI50" s="29"/>
      <c r="AJ50" s="29"/>
      <c r="AK50" s="29"/>
      <c r="AL50" s="29"/>
    </row>
    <row r="51" spans="1:38" s="29" customFormat="1" ht="15">
      <c r="A51" s="64"/>
      <c r="C51" s="63"/>
      <c r="E51" s="63"/>
      <c r="H51" s="57"/>
      <c r="I51" s="63"/>
      <c r="J51" s="63"/>
      <c r="K51" s="144"/>
      <c r="L51" s="145"/>
      <c r="M51" s="146"/>
      <c r="N51" s="146"/>
      <c r="O51" s="146"/>
      <c r="P51" s="147"/>
      <c r="Q51" s="147"/>
      <c r="R51" s="147"/>
      <c r="S51" s="147"/>
      <c r="T51" s="147"/>
      <c r="U51" s="144"/>
      <c r="V51" s="148"/>
      <c r="W51" s="149"/>
      <c r="X51" s="150"/>
      <c r="Y51" s="151"/>
      <c r="Z51" s="152"/>
      <c r="AA51" s="151"/>
      <c r="AB51" s="149"/>
      <c r="AC51" s="150"/>
      <c r="AD51" s="144"/>
      <c r="AE51" s="148"/>
      <c r="AF51" s="147"/>
      <c r="AG51" s="147"/>
      <c r="AH51" s="147"/>
      <c r="AI51" s="147"/>
      <c r="AJ51" s="147"/>
      <c r="AK51" s="147"/>
      <c r="AL51" s="147"/>
    </row>
    <row r="52" spans="8:52" ht="15">
      <c r="H52" s="57"/>
      <c r="I52" s="29"/>
      <c r="J52" s="29"/>
      <c r="K52" s="58"/>
      <c r="L52" s="29"/>
      <c r="M52" s="29"/>
      <c r="N52" s="29"/>
      <c r="O52" s="59"/>
      <c r="P52" s="60"/>
      <c r="Q52" s="60"/>
      <c r="R52" s="60"/>
      <c r="S52" s="61"/>
      <c r="T52" s="60"/>
      <c r="U52" s="60"/>
      <c r="V52" s="148"/>
      <c r="W52" s="60"/>
      <c r="X52" s="62"/>
      <c r="Y52" s="29"/>
      <c r="Z52" s="134"/>
      <c r="AA52" s="29"/>
      <c r="AB52" s="29"/>
      <c r="AC52" s="29"/>
      <c r="AD52" s="29"/>
      <c r="AE52" s="148"/>
      <c r="AF52" s="29"/>
      <c r="AG52" s="29"/>
      <c r="AH52" s="29"/>
      <c r="AI52" s="29"/>
      <c r="AJ52" s="29"/>
      <c r="AK52" s="29"/>
      <c r="AL52" s="29"/>
      <c r="AM52" s="29"/>
      <c r="AZ52" s="7"/>
    </row>
    <row r="53" spans="8:52" ht="15.75" thickBot="1">
      <c r="H53" s="57"/>
      <c r="I53" s="63"/>
      <c r="J53" s="63"/>
      <c r="K53" s="144"/>
      <c r="L53" s="145"/>
      <c r="M53" s="146"/>
      <c r="N53" s="146"/>
      <c r="O53" s="146"/>
      <c r="P53" s="147"/>
      <c r="Q53" s="147"/>
      <c r="R53" s="147"/>
      <c r="S53" s="147"/>
      <c r="T53" s="147"/>
      <c r="U53" s="144"/>
      <c r="V53" s="148"/>
      <c r="W53" s="149"/>
      <c r="X53" s="150"/>
      <c r="Y53" s="151"/>
      <c r="Z53" s="154"/>
      <c r="AA53" s="151"/>
      <c r="AB53" s="149"/>
      <c r="AC53" s="150"/>
      <c r="AD53" s="144"/>
      <c r="AE53" s="148"/>
      <c r="AF53" s="147"/>
      <c r="AG53" s="147"/>
      <c r="AH53" s="147"/>
      <c r="AI53" s="147"/>
      <c r="AJ53" s="147"/>
      <c r="AK53" s="147"/>
      <c r="AL53" s="147"/>
      <c r="AM53" s="29"/>
      <c r="AZ53" s="7"/>
    </row>
    <row r="54" spans="8:52" ht="15">
      <c r="H54" s="57"/>
      <c r="I54" s="29"/>
      <c r="J54" s="29"/>
      <c r="K54" s="58"/>
      <c r="L54" s="29"/>
      <c r="M54" s="29"/>
      <c r="N54" s="29"/>
      <c r="O54" s="29"/>
      <c r="P54" s="60"/>
      <c r="Q54" s="60"/>
      <c r="R54" s="60"/>
      <c r="S54" s="61"/>
      <c r="T54" s="60"/>
      <c r="U54" s="60"/>
      <c r="V54" s="60"/>
      <c r="W54" s="60"/>
      <c r="X54" s="62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Z54" s="7"/>
    </row>
    <row r="55" spans="8:52" ht="15">
      <c r="H55" s="57"/>
      <c r="I55" s="29"/>
      <c r="J55" s="29"/>
      <c r="K55" s="58"/>
      <c r="L55" s="29"/>
      <c r="M55" s="29"/>
      <c r="N55" s="29"/>
      <c r="O55" s="29"/>
      <c r="P55" s="60"/>
      <c r="Q55" s="60"/>
      <c r="R55" s="60"/>
      <c r="S55" s="61"/>
      <c r="T55" s="60"/>
      <c r="U55" s="60"/>
      <c r="V55" s="60"/>
      <c r="W55" s="60"/>
      <c r="X55" s="62"/>
      <c r="Y55" s="29"/>
      <c r="Z55" s="29"/>
      <c r="AA55" s="29"/>
      <c r="AB55" s="29"/>
      <c r="AC55" s="63"/>
      <c r="AD55" s="63"/>
      <c r="AE55" s="63"/>
      <c r="AF55" s="29"/>
      <c r="AG55" s="29"/>
      <c r="AH55" s="29"/>
      <c r="AI55" s="29"/>
      <c r="AJ55" s="29"/>
      <c r="AK55" s="29"/>
      <c r="AL55" s="29"/>
      <c r="AM55" s="29"/>
      <c r="AZ55" s="7"/>
    </row>
    <row r="56" spans="8:52" ht="15">
      <c r="H56" s="57"/>
      <c r="I56" s="29"/>
      <c r="J56" s="29"/>
      <c r="K56" s="58"/>
      <c r="L56" s="29"/>
      <c r="M56" s="29"/>
      <c r="N56" s="29"/>
      <c r="O56" s="29"/>
      <c r="P56" s="60"/>
      <c r="Q56" s="60"/>
      <c r="R56" s="60"/>
      <c r="S56" s="61"/>
      <c r="T56" s="60"/>
      <c r="U56" s="60"/>
      <c r="V56" s="60"/>
      <c r="W56" s="60"/>
      <c r="X56" s="62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Z56" s="7"/>
    </row>
    <row r="57" spans="11:52" ht="15">
      <c r="K57" s="58"/>
      <c r="M57" s="7"/>
      <c r="N57" s="7"/>
      <c r="O57" s="7"/>
      <c r="P57" s="60"/>
      <c r="Q57" s="60"/>
      <c r="R57" s="60"/>
      <c r="S57" s="61"/>
      <c r="T57" s="60"/>
      <c r="U57" s="60"/>
      <c r="V57" s="60"/>
      <c r="W57" s="60"/>
      <c r="X57" s="62"/>
      <c r="AF57" s="7"/>
      <c r="AG57" s="7"/>
      <c r="AH57" s="7"/>
      <c r="AI57" s="7"/>
      <c r="AZ57" s="7"/>
    </row>
    <row r="58" spans="11:52" ht="15">
      <c r="K58" s="58"/>
      <c r="M58" s="7"/>
      <c r="N58" s="7"/>
      <c r="O58" s="7"/>
      <c r="P58" s="60"/>
      <c r="Q58" s="60"/>
      <c r="R58" s="60"/>
      <c r="S58" s="61"/>
      <c r="T58" s="60"/>
      <c r="U58" s="60"/>
      <c r="V58" s="60"/>
      <c r="W58" s="60"/>
      <c r="X58" s="62"/>
      <c r="AF58" s="7"/>
      <c r="AG58" s="7"/>
      <c r="AH58" s="7"/>
      <c r="AI58" s="7"/>
      <c r="AZ58" s="7"/>
    </row>
    <row r="59" spans="2:31" s="9" customFormat="1" ht="15">
      <c r="B59" s="65"/>
      <c r="C59" s="65"/>
      <c r="H59" s="65"/>
      <c r="K59" s="58"/>
      <c r="P59" s="60"/>
      <c r="Q59" s="60"/>
      <c r="R59" s="60"/>
      <c r="S59" s="61"/>
      <c r="T59" s="60"/>
      <c r="U59" s="60"/>
      <c r="V59" s="60"/>
      <c r="W59" s="60"/>
      <c r="X59" s="62"/>
      <c r="AC59" s="7"/>
      <c r="AD59" s="7"/>
      <c r="AE59" s="7"/>
    </row>
    <row r="60" spans="11:52" ht="15">
      <c r="K60" s="58"/>
      <c r="M60" s="7"/>
      <c r="N60" s="7"/>
      <c r="O60" s="7"/>
      <c r="P60" s="60"/>
      <c r="Q60" s="60"/>
      <c r="R60" s="60"/>
      <c r="S60" s="61"/>
      <c r="T60" s="60"/>
      <c r="U60" s="60"/>
      <c r="V60" s="60"/>
      <c r="W60" s="60"/>
      <c r="X60" s="62"/>
      <c r="AF60" s="7"/>
      <c r="AG60" s="7"/>
      <c r="AH60" s="7"/>
      <c r="AI60" s="7"/>
      <c r="AZ60" s="7"/>
    </row>
    <row r="61" spans="13:52" ht="15">
      <c r="M61" s="7"/>
      <c r="N61" s="7"/>
      <c r="O61" s="7"/>
      <c r="AF61" s="7"/>
      <c r="AG61" s="7"/>
      <c r="AH61" s="7"/>
      <c r="AI61" s="7"/>
      <c r="AZ61" s="7"/>
    </row>
    <row r="62" spans="13:52" ht="15">
      <c r="M62" s="7"/>
      <c r="N62" s="7"/>
      <c r="O62" s="7"/>
      <c r="AF62" s="7"/>
      <c r="AG62" s="7"/>
      <c r="AH62" s="7"/>
      <c r="AI62" s="7"/>
      <c r="AZ62" s="7"/>
    </row>
    <row r="63" spans="13:52" ht="15">
      <c r="M63" s="7"/>
      <c r="N63" s="7"/>
      <c r="O63" s="7"/>
      <c r="AF63" s="7"/>
      <c r="AG63" s="7"/>
      <c r="AH63" s="7"/>
      <c r="AI63" s="7"/>
      <c r="AZ63" s="7"/>
    </row>
    <row r="64" spans="13:52" ht="15">
      <c r="M64" s="7"/>
      <c r="N64" s="7"/>
      <c r="O64" s="7"/>
      <c r="AF64" s="7"/>
      <c r="AG64" s="7"/>
      <c r="AH64" s="7"/>
      <c r="AI64" s="7"/>
      <c r="AZ64" s="7"/>
    </row>
    <row r="65" spans="13:52" ht="15">
      <c r="M65" s="7"/>
      <c r="N65" s="7"/>
      <c r="O65" s="7"/>
      <c r="AF65" s="7"/>
      <c r="AG65" s="7"/>
      <c r="AH65" s="7"/>
      <c r="AI65" s="7"/>
      <c r="AZ65" s="7"/>
    </row>
    <row r="66" spans="13:52" ht="15">
      <c r="M66" s="7"/>
      <c r="N66" s="7"/>
      <c r="O66" s="7"/>
      <c r="AF66" s="7"/>
      <c r="AG66" s="7"/>
      <c r="AH66" s="7"/>
      <c r="AI66" s="7"/>
      <c r="AZ66" s="7"/>
    </row>
    <row r="67" spans="13:52" ht="15">
      <c r="M67" s="7"/>
      <c r="N67" s="7"/>
      <c r="O67" s="7"/>
      <c r="AF67" s="7"/>
      <c r="AG67" s="7"/>
      <c r="AH67" s="7"/>
      <c r="AI67" s="7"/>
      <c r="AZ67" s="7"/>
    </row>
    <row r="68" spans="13:52" ht="15">
      <c r="M68" s="7"/>
      <c r="N68" s="7"/>
      <c r="O68" s="7"/>
      <c r="AF68" s="7"/>
      <c r="AG68" s="7"/>
      <c r="AH68" s="7"/>
      <c r="AI68" s="7"/>
      <c r="AZ68" s="7"/>
    </row>
    <row r="69" spans="13:52" ht="15">
      <c r="M69" s="7"/>
      <c r="N69" s="7"/>
      <c r="O69" s="7"/>
      <c r="AF69" s="7"/>
      <c r="AG69" s="7"/>
      <c r="AH69" s="7"/>
      <c r="AI69" s="7"/>
      <c r="AZ69" s="7"/>
    </row>
    <row r="70" spans="13:52" ht="15">
      <c r="M70" s="7"/>
      <c r="N70" s="7"/>
      <c r="O70" s="7"/>
      <c r="AF70" s="7"/>
      <c r="AG70" s="7"/>
      <c r="AH70" s="7"/>
      <c r="AI70" s="7"/>
      <c r="AZ70" s="7"/>
    </row>
    <row r="71" spans="13:52" ht="15">
      <c r="M71" s="7"/>
      <c r="N71" s="7"/>
      <c r="O71" s="7"/>
      <c r="AF71" s="7"/>
      <c r="AG71" s="7"/>
      <c r="AH71" s="7"/>
      <c r="AI71" s="7"/>
      <c r="AZ71" s="7"/>
    </row>
    <row r="72" spans="13:52" ht="15">
      <c r="M72" s="7"/>
      <c r="N72" s="7"/>
      <c r="O72" s="7"/>
      <c r="AF72" s="7"/>
      <c r="AG72" s="7"/>
      <c r="AH72" s="7"/>
      <c r="AI72" s="7"/>
      <c r="AZ72" s="7"/>
    </row>
    <row r="73" spans="13:52" ht="15">
      <c r="M73" s="7"/>
      <c r="N73" s="7"/>
      <c r="O73" s="7"/>
      <c r="AF73" s="7"/>
      <c r="AG73" s="7"/>
      <c r="AH73" s="7"/>
      <c r="AI73" s="7"/>
      <c r="AZ73" s="7"/>
    </row>
    <row r="74" spans="13:52" ht="15">
      <c r="M74" s="7"/>
      <c r="N74" s="7"/>
      <c r="O74" s="7"/>
      <c r="AF74" s="7"/>
      <c r="AG74" s="7"/>
      <c r="AH74" s="7"/>
      <c r="AI74" s="7"/>
      <c r="AZ74" s="7"/>
    </row>
    <row r="75" spans="13:52" ht="15">
      <c r="M75" s="7"/>
      <c r="N75" s="7"/>
      <c r="O75" s="7"/>
      <c r="AF75" s="7"/>
      <c r="AG75" s="7"/>
      <c r="AH75" s="7"/>
      <c r="AI75" s="7"/>
      <c r="AZ75" s="7"/>
    </row>
    <row r="76" spans="13:52" ht="15">
      <c r="M76" s="7"/>
      <c r="N76" s="7"/>
      <c r="O76" s="7"/>
      <c r="AF76" s="7"/>
      <c r="AG76" s="7"/>
      <c r="AH76" s="7"/>
      <c r="AI76" s="7"/>
      <c r="AZ76" s="7"/>
    </row>
    <row r="77" spans="13:52" ht="15">
      <c r="M77" s="7"/>
      <c r="N77" s="7"/>
      <c r="O77" s="7"/>
      <c r="AF77" s="7"/>
      <c r="AG77" s="7"/>
      <c r="AH77" s="7"/>
      <c r="AI77" s="7"/>
      <c r="AZ77" s="7"/>
    </row>
    <row r="78" spans="13:52" ht="15">
      <c r="M78" s="7"/>
      <c r="N78" s="7"/>
      <c r="O78" s="7"/>
      <c r="AF78" s="7"/>
      <c r="AG78" s="7"/>
      <c r="AH78" s="7"/>
      <c r="AI78" s="7"/>
      <c r="AZ78" s="7"/>
    </row>
    <row r="79" spans="13:52" ht="15">
      <c r="M79" s="7"/>
      <c r="N79" s="7"/>
      <c r="O79" s="7"/>
      <c r="AF79" s="7"/>
      <c r="AG79" s="7"/>
      <c r="AH79" s="7"/>
      <c r="AI79" s="7"/>
      <c r="AZ79" s="7"/>
    </row>
  </sheetData>
  <mergeCells count="17">
    <mergeCell ref="A1:H1"/>
    <mergeCell ref="A2:H2"/>
    <mergeCell ref="A3:H3"/>
    <mergeCell ref="G6:H6"/>
    <mergeCell ref="G8:H8"/>
    <mergeCell ref="AU10:AX10"/>
    <mergeCell ref="G21:G29"/>
    <mergeCell ref="W8:AD8"/>
    <mergeCell ref="AF8:AI8"/>
    <mergeCell ref="AK8:AK9"/>
    <mergeCell ref="A9:O9"/>
    <mergeCell ref="P9:T9"/>
    <mergeCell ref="W9:X9"/>
    <mergeCell ref="AB9:AD9"/>
    <mergeCell ref="AF9:AH9"/>
    <mergeCell ref="AI9:AJ9"/>
    <mergeCell ref="P8:U8"/>
  </mergeCells>
  <dataValidations count="2">
    <dataValidation type="list" allowBlank="1" showInputMessage="1" showErrorMessage="1" sqref="L12:L17">
      <formula1>'FY19 Table'!$D$1:$D$11</formula1>
    </dataValidation>
    <dataValidation type="list" allowBlank="1" showInputMessage="1" showErrorMessage="1" sqref="G12:G17">
      <formula1>'FY19 Table'!$A$1:$A$12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D30" sqref="D30"/>
    </sheetView>
  </sheetViews>
  <sheetFormatPr defaultColWidth="8.8515625" defaultRowHeight="15"/>
  <cols>
    <col min="1" max="1" width="24.28125" style="0" bestFit="1" customWidth="1"/>
    <col min="2" max="2" width="24.28125" style="0" customWidth="1"/>
    <col min="3" max="3" width="14.7109375" style="0" bestFit="1" customWidth="1"/>
    <col min="4" max="5" width="14.7109375" style="0" customWidth="1"/>
    <col min="6" max="6" width="20.00390625" style="0" bestFit="1" customWidth="1"/>
    <col min="8" max="8" width="29.00390625" style="0" bestFit="1" customWidth="1"/>
  </cols>
  <sheetData>
    <row r="1" spans="1:8" ht="15.75" thickBot="1">
      <c r="A1" s="84" t="s">
        <v>15</v>
      </c>
      <c r="B1" s="84" t="s">
        <v>18</v>
      </c>
      <c r="C1" s="84" t="s">
        <v>72</v>
      </c>
      <c r="D1" s="107" t="s">
        <v>85</v>
      </c>
      <c r="E1" s="84" t="s">
        <v>86</v>
      </c>
      <c r="F1" s="106" t="s">
        <v>54</v>
      </c>
      <c r="G1" s="34">
        <v>0.2871</v>
      </c>
      <c r="H1" s="35" t="s">
        <v>55</v>
      </c>
    </row>
    <row r="2" spans="1:8" ht="15">
      <c r="A2" s="77" t="s">
        <v>89</v>
      </c>
      <c r="B2" s="79" t="s">
        <v>87</v>
      </c>
      <c r="C2" s="77">
        <v>1</v>
      </c>
      <c r="D2" s="108" t="s">
        <v>48</v>
      </c>
      <c r="E2" s="77">
        <v>0.025</v>
      </c>
      <c r="F2" s="102" t="s">
        <v>54</v>
      </c>
      <c r="G2" s="38">
        <v>0.0668</v>
      </c>
      <c r="H2" s="39" t="s">
        <v>57</v>
      </c>
    </row>
    <row r="3" spans="1:8" ht="15">
      <c r="A3" s="77" t="s">
        <v>91</v>
      </c>
      <c r="B3" s="79" t="s">
        <v>88</v>
      </c>
      <c r="C3" s="77">
        <v>1</v>
      </c>
      <c r="D3" s="108" t="s">
        <v>49</v>
      </c>
      <c r="E3" s="77">
        <v>0.025</v>
      </c>
      <c r="F3" s="102" t="s">
        <v>54</v>
      </c>
      <c r="G3" s="38">
        <v>0.0626</v>
      </c>
      <c r="H3" s="39" t="s">
        <v>59</v>
      </c>
    </row>
    <row r="4" spans="1:8" ht="15">
      <c r="A4" s="77" t="s">
        <v>92</v>
      </c>
      <c r="B4" s="79" t="s">
        <v>90</v>
      </c>
      <c r="C4" s="77">
        <v>1</v>
      </c>
      <c r="D4" s="108" t="s">
        <v>75</v>
      </c>
      <c r="E4" s="77">
        <v>0.025</v>
      </c>
      <c r="F4" s="102" t="s">
        <v>54</v>
      </c>
      <c r="G4" s="38">
        <v>0.002</v>
      </c>
      <c r="H4" s="39" t="s">
        <v>61</v>
      </c>
    </row>
    <row r="5" spans="1:8" ht="15">
      <c r="A5" s="77" t="s">
        <v>45</v>
      </c>
      <c r="B5" s="80">
        <f>70311*1.02</f>
        <v>71717.22</v>
      </c>
      <c r="C5" s="77">
        <v>2</v>
      </c>
      <c r="D5" s="108" t="s">
        <v>47</v>
      </c>
      <c r="E5" s="77">
        <v>0.025</v>
      </c>
      <c r="F5" s="102" t="s">
        <v>54</v>
      </c>
      <c r="G5" s="38">
        <v>0.0626</v>
      </c>
      <c r="H5" s="39" t="s">
        <v>62</v>
      </c>
    </row>
    <row r="6" spans="1:8" ht="15">
      <c r="A6" s="77" t="s">
        <v>42</v>
      </c>
      <c r="B6" s="80">
        <v>40000</v>
      </c>
      <c r="C6" s="77">
        <v>1</v>
      </c>
      <c r="D6" s="108" t="s">
        <v>78</v>
      </c>
      <c r="E6" s="77">
        <v>0.025</v>
      </c>
      <c r="F6" s="102" t="s">
        <v>54</v>
      </c>
      <c r="G6" s="38">
        <v>0.1624</v>
      </c>
      <c r="H6" s="39" t="s">
        <v>63</v>
      </c>
    </row>
    <row r="7" spans="1:8" ht="15">
      <c r="A7" s="83" t="s">
        <v>46</v>
      </c>
      <c r="B7" s="80">
        <v>40000</v>
      </c>
      <c r="C7" s="77">
        <v>1</v>
      </c>
      <c r="D7" s="108" t="s">
        <v>77</v>
      </c>
      <c r="E7" s="77">
        <v>0.025</v>
      </c>
      <c r="F7" s="102" t="s">
        <v>54</v>
      </c>
      <c r="G7" s="44">
        <v>240.12</v>
      </c>
      <c r="H7" s="45" t="s">
        <v>64</v>
      </c>
    </row>
    <row r="8" spans="1:8" ht="15.75" thickBot="1">
      <c r="A8" s="83" t="s">
        <v>84</v>
      </c>
      <c r="B8" s="80">
        <f>39550*1.02</f>
        <v>40341</v>
      </c>
      <c r="C8" s="77">
        <v>1</v>
      </c>
      <c r="D8" s="108" t="s">
        <v>76</v>
      </c>
      <c r="E8" s="77">
        <v>0.025</v>
      </c>
      <c r="F8" s="103" t="s">
        <v>54</v>
      </c>
      <c r="G8" s="47">
        <v>409.94</v>
      </c>
      <c r="H8" s="48" t="s">
        <v>65</v>
      </c>
    </row>
    <row r="9" spans="1:8" ht="15">
      <c r="A9" s="77" t="s">
        <v>71</v>
      </c>
      <c r="B9" s="80">
        <v>32000</v>
      </c>
      <c r="C9" s="77">
        <v>1</v>
      </c>
      <c r="D9" s="108" t="s">
        <v>74</v>
      </c>
      <c r="E9" s="77">
        <v>0.025</v>
      </c>
      <c r="H9" s="104"/>
    </row>
    <row r="10" spans="1:8" ht="15">
      <c r="A10" s="83" t="s">
        <v>73</v>
      </c>
      <c r="B10" s="81">
        <f>60000*1.02</f>
        <v>61200</v>
      </c>
      <c r="C10" s="77">
        <v>1</v>
      </c>
      <c r="D10" s="108" t="s">
        <v>50</v>
      </c>
      <c r="E10" s="77">
        <v>0.025</v>
      </c>
      <c r="H10" s="104"/>
    </row>
    <row r="11" spans="1:8" ht="15.75" thickBot="1">
      <c r="A11" s="77" t="s">
        <v>43</v>
      </c>
      <c r="B11" s="80">
        <f>43621*1.02</f>
        <v>44493.42</v>
      </c>
      <c r="C11" s="77">
        <v>1</v>
      </c>
      <c r="D11" s="109" t="s">
        <v>51</v>
      </c>
      <c r="E11" s="78">
        <v>0.04</v>
      </c>
      <c r="H11" s="104"/>
    </row>
    <row r="12" spans="1:5" ht="15.75" thickBot="1">
      <c r="A12" s="78" t="s">
        <v>44</v>
      </c>
      <c r="B12" s="82">
        <f>91800*1.02</f>
        <v>93636</v>
      </c>
      <c r="C12" s="78">
        <v>1</v>
      </c>
      <c r="D12" s="104"/>
      <c r="E12" s="104"/>
    </row>
    <row r="13" spans="1:5" ht="15">
      <c r="A13" s="104"/>
      <c r="B13" s="105"/>
      <c r="C13" s="104"/>
      <c r="D13" s="104"/>
      <c r="E13" s="104"/>
    </row>
    <row r="14" spans="1:5" ht="15">
      <c r="A14" s="104"/>
      <c r="B14" s="105"/>
      <c r="C14" s="104"/>
      <c r="D14" s="104"/>
      <c r="E14" s="104"/>
    </row>
    <row r="15" spans="1:5" ht="15">
      <c r="A15" s="104"/>
      <c r="B15" s="105"/>
      <c r="C15" s="104"/>
      <c r="D15" s="104"/>
      <c r="E15" s="104"/>
    </row>
    <row r="16" spans="1:5" ht="15">
      <c r="A16" s="104"/>
      <c r="B16" s="105"/>
      <c r="C16" s="104"/>
      <c r="D16" s="104"/>
      <c r="E16" s="104"/>
    </row>
    <row r="17" spans="1:3" ht="15">
      <c r="A17" s="104"/>
      <c r="B17" s="105"/>
      <c r="C17" s="104"/>
    </row>
    <row r="18" spans="1:19" ht="15.75">
      <c r="A18" s="104"/>
      <c r="B18" s="105"/>
      <c r="C18" s="10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  <c r="R18" s="32"/>
      <c r="S18" s="32"/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4:19" ht="15.7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"/>
      <c r="P20" s="1"/>
      <c r="Q20" s="33"/>
      <c r="R20" s="1"/>
      <c r="S20" s="1"/>
    </row>
    <row r="21" spans="1:19" ht="15.75">
      <c r="A21" s="31" t="s">
        <v>53</v>
      </c>
      <c r="B21" s="31"/>
      <c r="C21" s="31"/>
      <c r="D21" s="43"/>
      <c r="E21" s="43"/>
      <c r="F21" s="43"/>
      <c r="G21" s="43"/>
      <c r="H21" s="43"/>
      <c r="I21" s="43"/>
      <c r="J21" s="43"/>
      <c r="K21" s="43"/>
      <c r="L21" s="2"/>
      <c r="M21" s="1"/>
      <c r="N21" s="1"/>
      <c r="O21" s="1"/>
      <c r="P21" s="1"/>
      <c r="Q21" s="33"/>
      <c r="R21" s="1"/>
      <c r="S21" s="1"/>
    </row>
    <row r="22" spans="1:3" ht="15">
      <c r="A22" s="31" t="s">
        <v>56</v>
      </c>
      <c r="B22" s="31"/>
      <c r="C22" s="31"/>
    </row>
    <row r="23" spans="1:3" ht="15">
      <c r="A23" s="31" t="s">
        <v>58</v>
      </c>
      <c r="B23" s="31"/>
      <c r="C23" s="31"/>
    </row>
    <row r="24" spans="1:3" ht="15">
      <c r="A24" s="42" t="s">
        <v>60</v>
      </c>
      <c r="B24" s="43"/>
      <c r="C24" s="43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9"/>
  <sheetViews>
    <sheetView workbookViewId="0" topLeftCell="A1">
      <pane xSplit="7" ySplit="11" topLeftCell="H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8.8515625" defaultRowHeight="15"/>
  <cols>
    <col min="1" max="1" width="9.140625" style="7" customWidth="1"/>
    <col min="2" max="2" width="7.421875" style="49" bestFit="1" customWidth="1"/>
    <col min="3" max="3" width="9.140625" style="49" customWidth="1"/>
    <col min="4" max="4" width="34.7109375" style="7" customWidth="1"/>
    <col min="5" max="5" width="8.8515625" style="7" customWidth="1"/>
    <col min="6" max="6" width="9.140625" style="7" customWidth="1"/>
    <col min="7" max="7" width="34.28125" style="7" bestFit="1" customWidth="1"/>
    <col min="8" max="8" width="9.140625" style="49" customWidth="1"/>
    <col min="9" max="9" width="11.28125" style="7" customWidth="1"/>
    <col min="10" max="10" width="11.8515625" style="7" customWidth="1"/>
    <col min="11" max="11" width="12.421875" style="7" bestFit="1" customWidth="1"/>
    <col min="12" max="12" width="12.421875" style="7" customWidth="1"/>
    <col min="13" max="13" width="12.421875" style="6" customWidth="1"/>
    <col min="14" max="14" width="10.28125" style="6" customWidth="1"/>
    <col min="15" max="15" width="11.421875" style="6" bestFit="1" customWidth="1"/>
    <col min="16" max="17" width="11.421875" style="7" bestFit="1" customWidth="1"/>
    <col min="18" max="18" width="15.00390625" style="7" customWidth="1"/>
    <col min="19" max="19" width="12.421875" style="36" bestFit="1" customWidth="1"/>
    <col min="20" max="20" width="14.8515625" style="7" bestFit="1" customWidth="1"/>
    <col min="21" max="21" width="15.00390625" style="7" customWidth="1"/>
    <col min="22" max="22" width="4.421875" style="7" customWidth="1"/>
    <col min="23" max="23" width="11.421875" style="7" bestFit="1" customWidth="1"/>
    <col min="24" max="24" width="11.28125" style="50" bestFit="1" customWidth="1"/>
    <col min="25" max="25" width="15.00390625" style="7" bestFit="1" customWidth="1"/>
    <col min="26" max="27" width="11.421875" style="7" bestFit="1" customWidth="1"/>
    <col min="28" max="28" width="10.421875" style="7" bestFit="1" customWidth="1"/>
    <col min="29" max="29" width="8.8515625" style="7" bestFit="1" customWidth="1"/>
    <col min="30" max="30" width="11.421875" style="7" bestFit="1" customWidth="1"/>
    <col min="31" max="31" width="4.421875" style="7" customWidth="1"/>
    <col min="32" max="32" width="11.421875" style="66" bestFit="1" customWidth="1"/>
    <col min="33" max="33" width="10.421875" style="36" bestFit="1" customWidth="1"/>
    <col min="34" max="34" width="11.421875" style="66" bestFit="1" customWidth="1"/>
    <col min="35" max="35" width="11.8515625" style="66" customWidth="1"/>
    <col min="36" max="36" width="15.28125" style="7" bestFit="1" customWidth="1"/>
    <col min="37" max="37" width="11.8515625" style="7" customWidth="1"/>
    <col min="38" max="38" width="16.421875" style="7" bestFit="1" customWidth="1"/>
    <col min="39" max="47" width="11.8515625" style="7" customWidth="1"/>
    <col min="48" max="48" width="8.8515625" style="7" customWidth="1"/>
    <col min="49" max="51" width="9.140625" style="7" customWidth="1"/>
    <col min="52" max="52" width="9.140625" style="37" customWidth="1"/>
    <col min="53" max="16384" width="8.8515625" style="7" customWidth="1"/>
  </cols>
  <sheetData>
    <row r="1" spans="1:51" ht="15.75">
      <c r="A1" s="217" t="s">
        <v>52</v>
      </c>
      <c r="B1" s="217"/>
      <c r="C1" s="217"/>
      <c r="D1" s="217"/>
      <c r="E1" s="217"/>
      <c r="F1" s="217"/>
      <c r="G1" s="217"/>
      <c r="H1" s="217"/>
      <c r="AA1" s="1"/>
      <c r="AB1" s="1"/>
      <c r="AF1" s="3"/>
      <c r="AG1" s="2"/>
      <c r="AH1" s="3"/>
      <c r="AI1" s="3"/>
      <c r="AK1" s="1"/>
      <c r="AL1" s="1"/>
      <c r="AM1" s="1"/>
      <c r="AN1" s="1"/>
      <c r="AO1" s="1"/>
      <c r="AP1" s="1"/>
      <c r="AQ1" s="1"/>
      <c r="AR1" s="1"/>
      <c r="AS1" s="4"/>
      <c r="AT1" s="4"/>
      <c r="AU1" s="4"/>
      <c r="AW1" s="36"/>
      <c r="AX1" s="36"/>
      <c r="AY1" s="36"/>
    </row>
    <row r="2" spans="1:51" ht="15.75">
      <c r="A2" s="224" t="s">
        <v>99</v>
      </c>
      <c r="B2" s="224"/>
      <c r="C2" s="224"/>
      <c r="D2" s="224"/>
      <c r="E2" s="224"/>
      <c r="F2" s="224"/>
      <c r="G2" s="224"/>
      <c r="H2" s="224"/>
      <c r="AA2" s="1"/>
      <c r="AB2" s="1"/>
      <c r="AF2" s="3"/>
      <c r="AG2" s="2"/>
      <c r="AH2" s="3"/>
      <c r="AI2" s="3"/>
      <c r="AK2" s="1"/>
      <c r="AL2" s="1"/>
      <c r="AM2" s="1"/>
      <c r="AN2" s="1"/>
      <c r="AO2" s="1"/>
      <c r="AP2" s="1"/>
      <c r="AQ2" s="1"/>
      <c r="AR2" s="1"/>
      <c r="AS2" s="4"/>
      <c r="AT2" s="4"/>
      <c r="AU2" s="4"/>
      <c r="AW2" s="36"/>
      <c r="AX2" s="36"/>
      <c r="AY2" s="36"/>
    </row>
    <row r="3" spans="1:51" ht="18.75">
      <c r="A3" s="225"/>
      <c r="B3" s="225"/>
      <c r="C3" s="225"/>
      <c r="D3" s="225"/>
      <c r="E3" s="225"/>
      <c r="F3" s="225"/>
      <c r="G3" s="225"/>
      <c r="H3" s="225"/>
      <c r="AA3" s="1"/>
      <c r="AB3" s="1"/>
      <c r="AF3" s="3"/>
      <c r="AG3" s="2"/>
      <c r="AH3" s="3"/>
      <c r="AI3" s="3"/>
      <c r="AK3" s="1"/>
      <c r="AL3" s="1"/>
      <c r="AM3" s="1"/>
      <c r="AN3" s="1"/>
      <c r="AO3" s="1"/>
      <c r="AP3" s="1"/>
      <c r="AQ3" s="1"/>
      <c r="AR3" s="1"/>
      <c r="AS3" s="40"/>
      <c r="AT3" s="40"/>
      <c r="AU3" s="40"/>
      <c r="AW3" s="36"/>
      <c r="AX3" s="36"/>
      <c r="AY3" s="36"/>
    </row>
    <row r="4" spans="1:51" ht="15.75">
      <c r="A4" s="124"/>
      <c r="B4" s="124"/>
      <c r="C4" s="124"/>
      <c r="D4" s="124"/>
      <c r="E4" s="124"/>
      <c r="F4" s="124"/>
      <c r="G4" s="124"/>
      <c r="H4" s="124"/>
      <c r="AA4" s="1"/>
      <c r="AB4" s="1"/>
      <c r="AF4" s="3"/>
      <c r="AG4" s="2"/>
      <c r="AH4" s="3"/>
      <c r="AI4" s="3"/>
      <c r="AK4" s="1"/>
      <c r="AL4" s="1"/>
      <c r="AM4" s="1"/>
      <c r="AN4" s="1"/>
      <c r="AO4" s="1"/>
      <c r="AP4" s="1"/>
      <c r="AQ4" s="1"/>
      <c r="AR4" s="1"/>
      <c r="AS4" s="40"/>
      <c r="AT4" s="40"/>
      <c r="AU4" s="40"/>
      <c r="AW4" s="36"/>
      <c r="AX4" s="36"/>
      <c r="AY4" s="36"/>
    </row>
    <row r="5" spans="1:51" ht="16.5" thickBot="1">
      <c r="A5" s="30"/>
      <c r="B5" s="46"/>
      <c r="C5" s="46"/>
      <c r="D5" s="1"/>
      <c r="E5" s="1"/>
      <c r="F5" s="1"/>
      <c r="G5" s="1"/>
      <c r="H5" s="46"/>
      <c r="I5" s="1"/>
      <c r="J5" s="4"/>
      <c r="K5" s="4"/>
      <c r="L5" s="4"/>
      <c r="M5" s="10"/>
      <c r="N5" s="10"/>
      <c r="O5" s="10"/>
      <c r="P5" s="4"/>
      <c r="Q5" s="1"/>
      <c r="R5" s="1"/>
      <c r="S5" s="2"/>
      <c r="T5" s="1"/>
      <c r="U5" s="1"/>
      <c r="V5" s="1"/>
      <c r="W5" s="1"/>
      <c r="X5" s="33"/>
      <c r="Y5" s="1"/>
      <c r="Z5" s="1"/>
      <c r="AA5" s="1"/>
      <c r="AF5" s="7"/>
      <c r="AG5" s="7"/>
      <c r="AH5" s="7"/>
      <c r="AI5" s="7"/>
      <c r="AW5" s="36"/>
      <c r="AX5" s="36"/>
      <c r="AY5" s="36"/>
    </row>
    <row r="6" spans="7:52" ht="15.75" customHeight="1" thickBot="1">
      <c r="G6" s="218" t="s">
        <v>80</v>
      </c>
      <c r="H6" s="219"/>
      <c r="I6" s="86" t="s">
        <v>98</v>
      </c>
      <c r="J6" s="92" t="s">
        <v>100</v>
      </c>
      <c r="K6" s="4"/>
      <c r="L6" s="10"/>
      <c r="M6" s="10"/>
      <c r="N6" s="10"/>
      <c r="O6" s="4"/>
      <c r="P6" s="1"/>
      <c r="Q6" s="1"/>
      <c r="R6" s="2"/>
      <c r="S6" s="1"/>
      <c r="T6" s="1"/>
      <c r="U6" s="1"/>
      <c r="V6" s="1"/>
      <c r="W6" s="33"/>
      <c r="X6" s="1"/>
      <c r="Y6" s="1"/>
      <c r="Z6" s="1"/>
      <c r="AB6"/>
      <c r="AC6"/>
      <c r="AD6"/>
      <c r="AF6" s="7"/>
      <c r="AG6" s="7"/>
      <c r="AH6" s="7"/>
      <c r="AI6" s="7"/>
      <c r="AV6" s="36"/>
      <c r="AW6" s="36"/>
      <c r="AX6" s="36"/>
      <c r="AY6" s="37"/>
      <c r="AZ6" s="7"/>
    </row>
    <row r="7" spans="9:51" ht="16.5" thickBot="1">
      <c r="I7" s="1"/>
      <c r="J7" s="4"/>
      <c r="K7"/>
      <c r="L7" s="4"/>
      <c r="M7" s="10"/>
      <c r="N7" s="10"/>
      <c r="O7" s="10"/>
      <c r="P7" s="4"/>
      <c r="Q7" s="1"/>
      <c r="R7" s="1"/>
      <c r="S7" s="2"/>
      <c r="T7" s="1"/>
      <c r="U7" s="1"/>
      <c r="V7" s="1"/>
      <c r="W7" s="1"/>
      <c r="X7" s="33"/>
      <c r="Y7" s="1"/>
      <c r="Z7" s="1"/>
      <c r="AA7" s="1"/>
      <c r="AC7"/>
      <c r="AD7"/>
      <c r="AE7"/>
      <c r="AF7" s="7"/>
      <c r="AG7" s="7"/>
      <c r="AH7" s="7"/>
      <c r="AI7" s="7"/>
      <c r="AW7" s="36"/>
      <c r="AX7" s="36"/>
      <c r="AY7" s="36"/>
    </row>
    <row r="8" spans="7:51" ht="15" customHeight="1" thickBot="1">
      <c r="G8" s="235" t="s">
        <v>79</v>
      </c>
      <c r="H8" s="236"/>
      <c r="I8" s="85">
        <v>30</v>
      </c>
      <c r="J8" s="92" t="s">
        <v>81</v>
      </c>
      <c r="K8"/>
      <c r="P8" s="231"/>
      <c r="Q8" s="231"/>
      <c r="R8" s="231"/>
      <c r="S8" s="231"/>
      <c r="T8" s="231"/>
      <c r="U8" s="231"/>
      <c r="V8"/>
      <c r="W8" s="230"/>
      <c r="X8" s="230"/>
      <c r="Y8" s="230"/>
      <c r="Z8" s="230"/>
      <c r="AA8" s="230"/>
      <c r="AB8" s="230"/>
      <c r="AC8" s="230"/>
      <c r="AD8" s="230"/>
      <c r="AE8"/>
      <c r="AF8" s="241" t="s">
        <v>2</v>
      </c>
      <c r="AG8" s="241"/>
      <c r="AH8" s="241"/>
      <c r="AI8" s="241"/>
      <c r="AJ8" s="13" t="s">
        <v>3</v>
      </c>
      <c r="AK8" s="220"/>
      <c r="AL8" s="14" t="s">
        <v>4</v>
      </c>
      <c r="AW8" s="36"/>
      <c r="AX8" s="36"/>
      <c r="AY8" s="36"/>
    </row>
    <row r="9" spans="1:52" s="68" customFormat="1" ht="33" customHeight="1" thickBo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232" t="s">
        <v>5</v>
      </c>
      <c r="Q9" s="233"/>
      <c r="R9" s="233"/>
      <c r="S9" s="233"/>
      <c r="T9" s="234"/>
      <c r="U9" s="69"/>
      <c r="V9" s="110"/>
      <c r="W9" s="226"/>
      <c r="X9" s="227"/>
      <c r="Y9" s="126">
        <v>0.2</v>
      </c>
      <c r="Z9" s="130">
        <v>0.5</v>
      </c>
      <c r="AA9" s="128">
        <v>0.3</v>
      </c>
      <c r="AB9" s="222"/>
      <c r="AC9" s="223"/>
      <c r="AD9" s="223"/>
      <c r="AE9" s="110"/>
      <c r="AF9" s="242" t="s">
        <v>6</v>
      </c>
      <c r="AG9" s="243"/>
      <c r="AH9" s="244"/>
      <c r="AI9" s="242" t="s">
        <v>7</v>
      </c>
      <c r="AJ9" s="244"/>
      <c r="AK9" s="221"/>
      <c r="AL9" s="70" t="s">
        <v>8</v>
      </c>
      <c r="AW9" s="71"/>
      <c r="AX9" s="71"/>
      <c r="AY9" s="71"/>
      <c r="AZ9" s="72"/>
    </row>
    <row r="10" spans="1:50" s="6" customFormat="1" ht="50.1" customHeight="1" thickBo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74" t="s">
        <v>14</v>
      </c>
      <c r="G10" s="91" t="s">
        <v>96</v>
      </c>
      <c r="H10" s="89" t="s">
        <v>16</v>
      </c>
      <c r="I10" s="16" t="s">
        <v>1</v>
      </c>
      <c r="J10" s="16" t="s">
        <v>66</v>
      </c>
      <c r="K10" s="74" t="s">
        <v>67</v>
      </c>
      <c r="L10" s="138" t="s">
        <v>68</v>
      </c>
      <c r="M10" s="137" t="s">
        <v>17</v>
      </c>
      <c r="N10" s="51" t="s">
        <v>69</v>
      </c>
      <c r="O10" s="51" t="s">
        <v>70</v>
      </c>
      <c r="P10" s="73" t="s">
        <v>18</v>
      </c>
      <c r="Q10" s="73" t="s">
        <v>19</v>
      </c>
      <c r="R10" s="73" t="s">
        <v>20</v>
      </c>
      <c r="S10" s="18" t="s">
        <v>21</v>
      </c>
      <c r="T10" s="18" t="s">
        <v>22</v>
      </c>
      <c r="U10" s="19" t="s">
        <v>23</v>
      </c>
      <c r="V10" s="110"/>
      <c r="W10" s="20" t="s">
        <v>24</v>
      </c>
      <c r="X10" s="21" t="s">
        <v>25</v>
      </c>
      <c r="Y10" s="127" t="s">
        <v>26</v>
      </c>
      <c r="Z10" s="131" t="s">
        <v>27</v>
      </c>
      <c r="AA10" s="129" t="s">
        <v>4</v>
      </c>
      <c r="AB10" s="20" t="s">
        <v>28</v>
      </c>
      <c r="AC10" s="22" t="s">
        <v>29</v>
      </c>
      <c r="AD10" s="23" t="s">
        <v>30</v>
      </c>
      <c r="AE10" s="110"/>
      <c r="AF10" s="17" t="s">
        <v>18</v>
      </c>
      <c r="AG10" s="17" t="s">
        <v>19</v>
      </c>
      <c r="AH10" s="17" t="s">
        <v>20</v>
      </c>
      <c r="AI10" s="17" t="s">
        <v>21</v>
      </c>
      <c r="AJ10" s="17" t="s">
        <v>31</v>
      </c>
      <c r="AK10" s="17" t="s">
        <v>22</v>
      </c>
      <c r="AL10" s="17" t="s">
        <v>32</v>
      </c>
      <c r="AU10" s="240"/>
      <c r="AV10" s="240"/>
      <c r="AW10" s="240"/>
      <c r="AX10" s="240"/>
    </row>
    <row r="11" spans="1:50" s="9" customFormat="1" ht="15" customHeight="1" thickBot="1">
      <c r="A11" s="52"/>
      <c r="B11" s="67"/>
      <c r="C11" s="53"/>
      <c r="D11" s="52"/>
      <c r="E11" s="52"/>
      <c r="F11" s="87"/>
      <c r="G11" s="90"/>
      <c r="H11" s="88"/>
      <c r="I11" s="52">
        <f>SUM(I12:I17)</f>
        <v>180</v>
      </c>
      <c r="J11" s="52">
        <f>SUM(J12:J13)</f>
        <v>0</v>
      </c>
      <c r="K11" s="94">
        <f>SUM(K12:K17)</f>
        <v>129664.8</v>
      </c>
      <c r="L11" s="55"/>
      <c r="M11" s="54"/>
      <c r="N11" s="54"/>
      <c r="O11" s="54"/>
      <c r="P11" s="93">
        <f aca="true" t="shared" si="0" ref="P11:U11">SUM(P12:P17)</f>
        <v>40530.42063</v>
      </c>
      <c r="Q11" s="93">
        <f t="shared" si="0"/>
        <v>11636.283762873001</v>
      </c>
      <c r="R11" s="93">
        <f t="shared" si="0"/>
        <v>52166.704392873</v>
      </c>
      <c r="S11" s="93">
        <f t="shared" si="0"/>
        <v>0</v>
      </c>
      <c r="T11" s="93">
        <f t="shared" si="0"/>
        <v>52166.704392873</v>
      </c>
      <c r="U11" s="94">
        <f t="shared" si="0"/>
        <v>77498.09560712699</v>
      </c>
      <c r="V11"/>
      <c r="W11" s="24">
        <f>SUM(W12:W17)</f>
        <v>180</v>
      </c>
      <c r="X11" s="25">
        <f>W11/I11</f>
        <v>1</v>
      </c>
      <c r="Y11" s="97">
        <f>SUM(Y12:Y17)</f>
        <v>15499.6191214254</v>
      </c>
      <c r="Z11" s="132">
        <f>SUM(Z12:Z17)</f>
        <v>38749.047803563495</v>
      </c>
      <c r="AA11" s="97">
        <f>SUM(AA12:AA17)</f>
        <v>23249.428682138096</v>
      </c>
      <c r="AB11" s="24">
        <f>SUM(AB12:AB17)</f>
        <v>0</v>
      </c>
      <c r="AC11" s="25">
        <f>AB11/I11</f>
        <v>0</v>
      </c>
      <c r="AD11" s="94">
        <f>SUM(AD12:AD17)</f>
        <v>0</v>
      </c>
      <c r="AE11"/>
      <c r="AF11" s="93">
        <f>SUM(AF12:AF17)</f>
        <v>33367.26663</v>
      </c>
      <c r="AG11" s="93">
        <f>SUM(AG12:AG17)</f>
        <v>9579.742249473</v>
      </c>
      <c r="AH11" s="93">
        <f>SUM(AH12:AH17)</f>
        <v>42947.008879472996</v>
      </c>
      <c r="AI11" s="93">
        <f aca="true" t="shared" si="1" ref="AI11:AJ11">SUM(AI12:AI17)</f>
        <v>0</v>
      </c>
      <c r="AJ11" s="93">
        <f t="shared" si="1"/>
        <v>0</v>
      </c>
      <c r="AK11" s="93">
        <f>SUM(AK12:AK17)</f>
        <v>42947.008879472996</v>
      </c>
      <c r="AL11" s="93">
        <f>SUM(AL12:AL17)</f>
        <v>9219.695513400002</v>
      </c>
      <c r="AM11" s="7"/>
      <c r="AN11" s="7"/>
      <c r="AO11" s="7"/>
      <c r="AP11" s="7"/>
      <c r="AQ11" s="7"/>
      <c r="AR11" s="7"/>
      <c r="AS11" s="7"/>
      <c r="AX11" s="11"/>
    </row>
    <row r="12" spans="1:38" s="29" customFormat="1" ht="15">
      <c r="A12" s="26" t="s">
        <v>33</v>
      </c>
      <c r="B12" s="125">
        <v>1023</v>
      </c>
      <c r="C12" s="7" t="s">
        <v>34</v>
      </c>
      <c r="D12" s="29" t="s">
        <v>38</v>
      </c>
      <c r="E12" s="7" t="s">
        <v>0</v>
      </c>
      <c r="F12" t="s">
        <v>36</v>
      </c>
      <c r="G12" s="75" t="s">
        <v>73</v>
      </c>
      <c r="H12" s="5">
        <v>3</v>
      </c>
      <c r="I12" s="29">
        <f aca="true" t="shared" si="2" ref="I12:I17">$I$8</f>
        <v>30</v>
      </c>
      <c r="K12" s="100">
        <f>IF(E12="UGRD",H12*I12*'FY20 Table'!$G$7,IF(E12="GRAD",H12*I12*'FY20 Table'!$G$8))</f>
        <v>21610.8</v>
      </c>
      <c r="L12" s="139" t="s">
        <v>47</v>
      </c>
      <c r="N12" s="29">
        <f>VLOOKUP(G12,'FY20 Table'!$A$1:C20,3,FALSE)</f>
        <v>1</v>
      </c>
      <c r="O12" s="101">
        <f>VLOOKUP(G12,'FY20 Table'!$A$1:B20,2,FALSE)</f>
        <v>62424</v>
      </c>
      <c r="P12" s="95">
        <f>IF(O12="A1","$4,000.00",(IF(O12="A2","$5,000.00",(IF(O12="A3","$5,000.00",(IF(L12="TTIN",H12*O12*0.025,IF(L12="TTIR",H12*O12*0.025,(IF(L12="O",H12*O12*0.025,(IF(L12="CIN",H12*O12*0.025,(IF(L12="CIR",H12*O12*0.025,(IF(L12="IR",H12*O12*0.025,(IF(L12="IN",H12*O12*0.025,(IF(L12="GA",H12*O12*0.025,(IF(L12="CISP",H12*O12*0.04))))))))))))))))))))))</f>
        <v>7490.88</v>
      </c>
      <c r="Q12" s="95">
        <f>IF(N12=1,P12*'FY20 Table'!$G$1,IF(N12=2,P12*'FY20 Table'!$G$6,IF(N12=3,P12*'FY20 Table'!$G$2,IF(N12=4,P12*'FY20 Table'!$G$4,IF(N12=5,P12*'FY20 Table'!$G$3,)))))</f>
        <v>2150.631648</v>
      </c>
      <c r="R12" s="95">
        <f aca="true" t="shared" si="3" ref="R12:R17">P12+Q12</f>
        <v>9641.511648</v>
      </c>
      <c r="S12" s="95"/>
      <c r="T12" s="95">
        <f aca="true" t="shared" si="4" ref="T12:T17">R12+S12</f>
        <v>9641.511648</v>
      </c>
      <c r="U12" s="96">
        <f aca="true" t="shared" si="5" ref="U12:U17">K12-T12</f>
        <v>11969.288352</v>
      </c>
      <c r="V12"/>
      <c r="W12" s="15">
        <f aca="true" t="shared" si="6" ref="W12:W17">IF($I$6="O",I12,(IF($I$6="B",I12/2,)))</f>
        <v>30</v>
      </c>
      <c r="X12" s="27">
        <f>W12/I12</f>
        <v>1</v>
      </c>
      <c r="Y12" s="98">
        <f aca="true" t="shared" si="7" ref="Y12:Y17">(X12*U12)*$Y$9</f>
        <v>2393.8576704</v>
      </c>
      <c r="Z12" s="133">
        <f aca="true" t="shared" si="8" ref="Z12:Z17">(X12*U12)*$Z$9</f>
        <v>5984.644176</v>
      </c>
      <c r="AA12" s="98">
        <f aca="true" t="shared" si="9" ref="AA12:AA17">(X12*U12)*$AA$9</f>
        <v>3590.7865055999996</v>
      </c>
      <c r="AB12" s="12">
        <f>I12-W12</f>
        <v>0</v>
      </c>
      <c r="AC12" s="27">
        <f>AB12/I12</f>
        <v>0</v>
      </c>
      <c r="AD12" s="96">
        <f aca="true" t="shared" si="10" ref="AD12">U12*AC12</f>
        <v>0</v>
      </c>
      <c r="AE12"/>
      <c r="AF12" s="99">
        <f aca="true" t="shared" si="11" ref="AF12:AF17">IF(L12="TTIN","0.00",(IF(L12="CIN","0.00",(IF(L12="IN","0.00",P12)))))</f>
        <v>7490.88</v>
      </c>
      <c r="AG12" s="99">
        <f aca="true" t="shared" si="12" ref="AG12:AG17">IF(L12="TTIN","0.00",(IF(L12="CIN","0.00",(IF(L12="IN","0.00",Q12)))))</f>
        <v>2150.631648</v>
      </c>
      <c r="AH12" s="99">
        <f aca="true" t="shared" si="13" ref="AH12:AH17">IF(L12="TTIN","0.00",(IF(L12="CIN","0.00",(IF(L12="IN","0.00",R12)))))</f>
        <v>9641.511648</v>
      </c>
      <c r="AI12" s="95"/>
      <c r="AJ12" s="95"/>
      <c r="AK12" s="95">
        <f aca="true" t="shared" si="14" ref="AK12:AK17">AH12+AI12+AJ12</f>
        <v>9641.511648</v>
      </c>
      <c r="AL12" s="95">
        <f aca="true" t="shared" si="15" ref="AL12">T12-AK12</f>
        <v>0</v>
      </c>
    </row>
    <row r="13" spans="1:38" s="29" customFormat="1" ht="15">
      <c r="A13" s="26" t="s">
        <v>33</v>
      </c>
      <c r="B13" s="125">
        <v>1033</v>
      </c>
      <c r="C13" s="7" t="s">
        <v>34</v>
      </c>
      <c r="D13" s="29" t="s">
        <v>37</v>
      </c>
      <c r="E13" s="7" t="s">
        <v>0</v>
      </c>
      <c r="F13" t="s">
        <v>36</v>
      </c>
      <c r="G13" s="75" t="s">
        <v>73</v>
      </c>
      <c r="H13" s="5">
        <v>3</v>
      </c>
      <c r="I13" s="29">
        <f t="shared" si="2"/>
        <v>30</v>
      </c>
      <c r="K13" s="100">
        <f>IF(E13="UGRD",H13*I13*'FY20 Table'!$G$7,IF(E13="GRAD",H13*I13*'FY20 Table'!$G$8))</f>
        <v>21610.8</v>
      </c>
      <c r="L13" s="140" t="s">
        <v>47</v>
      </c>
      <c r="N13" s="29">
        <f>VLOOKUP(G13,'FY20 Table'!$A$1:C20,3,FALSE)</f>
        <v>1</v>
      </c>
      <c r="O13" s="101">
        <f>VLOOKUP(G13,'FY20 Table'!$A$1:B20,2,FALSE)</f>
        <v>62424</v>
      </c>
      <c r="P13" s="95">
        <f>IF(O13="A1","$4,000.00",(IF(O13="A2","$5,000.00",(IF(O13="A3","$5,000.00",(IF(L13="TTIN",H13*O13*0.025,IF(L13="TTIR",H13*O13*0.025,(IF(L13="O",H13*O13*0.025,(IF(L13="CIN",H13*O13*0.025,(IF(L13="CIR",H13*O13*0.025,(IF(L13="IR",H13*O13*0.025,(IF(L13="IN",H13*O13*0.025,(IF(L13="GA",H13*O13*0.025,(IF(L13="CISP",H13*O13*0.04))))))))))))))))))))))</f>
        <v>7490.88</v>
      </c>
      <c r="Q13" s="95">
        <f>IF(N13=1,P13*'FY20 Table'!$G$1,IF(N13=2,P13*'FY20 Table'!$G$6,IF(N13=3,P13*'FY20 Table'!$G$2,IF(N13=4,P13*'FY20 Table'!$G$4,IF(N13=5,P13*'FY20 Table'!$G$3,)))))</f>
        <v>2150.631648</v>
      </c>
      <c r="R13" s="95">
        <f t="shared" si="3"/>
        <v>9641.511648</v>
      </c>
      <c r="S13" s="95"/>
      <c r="T13" s="95">
        <f t="shared" si="4"/>
        <v>9641.511648</v>
      </c>
      <c r="U13" s="96">
        <f t="shared" si="5"/>
        <v>11969.288352</v>
      </c>
      <c r="V13"/>
      <c r="W13" s="15">
        <f t="shared" si="6"/>
        <v>30</v>
      </c>
      <c r="X13" s="27">
        <f aca="true" t="shared" si="16" ref="X13:X17">W13/I13</f>
        <v>1</v>
      </c>
      <c r="Y13" s="98">
        <f t="shared" si="7"/>
        <v>2393.8576704</v>
      </c>
      <c r="Z13" s="133">
        <f t="shared" si="8"/>
        <v>5984.644176</v>
      </c>
      <c r="AA13" s="98">
        <f t="shared" si="9"/>
        <v>3590.7865055999996</v>
      </c>
      <c r="AB13" s="12">
        <f aca="true" t="shared" si="17" ref="AB13:AB17">I13-W13</f>
        <v>0</v>
      </c>
      <c r="AC13" s="27">
        <f aca="true" t="shared" si="18" ref="AC13:AC17">AB13/I13</f>
        <v>0</v>
      </c>
      <c r="AD13" s="96">
        <f>U13*AC13</f>
        <v>0</v>
      </c>
      <c r="AE13"/>
      <c r="AF13" s="99">
        <f t="shared" si="11"/>
        <v>7490.88</v>
      </c>
      <c r="AG13" s="99">
        <f t="shared" si="12"/>
        <v>2150.631648</v>
      </c>
      <c r="AH13" s="99">
        <f t="shared" si="13"/>
        <v>9641.511648</v>
      </c>
      <c r="AI13" s="95"/>
      <c r="AJ13" s="95"/>
      <c r="AK13" s="95">
        <f t="shared" si="14"/>
        <v>9641.511648</v>
      </c>
      <c r="AL13" s="95">
        <f>T13-AK13</f>
        <v>0</v>
      </c>
    </row>
    <row r="14" spans="1:38" s="29" customFormat="1" ht="15">
      <c r="A14" s="26" t="s">
        <v>33</v>
      </c>
      <c r="B14" s="125">
        <v>2003</v>
      </c>
      <c r="C14" s="7" t="s">
        <v>34</v>
      </c>
      <c r="D14" s="29" t="s">
        <v>39</v>
      </c>
      <c r="E14" s="7" t="s">
        <v>0</v>
      </c>
      <c r="F14" t="s">
        <v>36</v>
      </c>
      <c r="G14" s="75" t="s">
        <v>73</v>
      </c>
      <c r="H14" s="5">
        <v>3</v>
      </c>
      <c r="I14" s="29">
        <f t="shared" si="2"/>
        <v>30</v>
      </c>
      <c r="K14" s="100">
        <f>IF(E14="UGRD",H14*I14*'FY20 Table'!$G$7,IF(E14="GRAD",H14*I14*'FY20 Table'!$G$8))</f>
        <v>21610.8</v>
      </c>
      <c r="L14" s="140" t="s">
        <v>47</v>
      </c>
      <c r="N14" s="29">
        <f>VLOOKUP(G14,'FY20 Table'!$A$1:C20,3,FALSE)</f>
        <v>1</v>
      </c>
      <c r="O14" s="101">
        <f>VLOOKUP(G14,'FY20 Table'!$A$1:B20,2,FALSE)</f>
        <v>62424</v>
      </c>
      <c r="P14" s="95">
        <f aca="true" t="shared" si="19" ref="P14:P17">IF(O14="A1","$4,000.00",(IF(O14="A2","$5,000.00",(IF(O14="A3","$5,000.00",(IF(L14="TTIN",H14*O14*0.025,IF(L14="TTIR",H14*O14*0.025,(IF(L14="O",H14*O14*0.025,(IF(L14="CIN",H14*O14*0.025,(IF(L14="CIR",H14*O14*0.025,(IF(L14="IR",H14*O14*0.025,(IF(L14="IN",H14*O14*0.025,(IF(L14="GA",H14*O14*0.025,(IF(L14="CISP",H14*O14*0.04))))))))))))))))))))))</f>
        <v>7490.88</v>
      </c>
      <c r="Q14" s="95">
        <f>IF(N14=1,P14*'FY20 Table'!$G$1,IF(N14=2,P14*'FY20 Table'!$G$6,IF(N14=3,P14*'FY20 Table'!$G$2,IF(N14=4,P14*'FY20 Table'!$G$4,IF(N14=5,P14*'FY20 Table'!$G$3,)))))</f>
        <v>2150.631648</v>
      </c>
      <c r="R14" s="95">
        <f t="shared" si="3"/>
        <v>9641.511648</v>
      </c>
      <c r="S14" s="95"/>
      <c r="T14" s="95">
        <f t="shared" si="4"/>
        <v>9641.511648</v>
      </c>
      <c r="U14" s="96">
        <f t="shared" si="5"/>
        <v>11969.288352</v>
      </c>
      <c r="V14"/>
      <c r="W14" s="15">
        <f t="shared" si="6"/>
        <v>30</v>
      </c>
      <c r="X14" s="27">
        <f t="shared" si="16"/>
        <v>1</v>
      </c>
      <c r="Y14" s="98">
        <f t="shared" si="7"/>
        <v>2393.8576704</v>
      </c>
      <c r="Z14" s="133">
        <f t="shared" si="8"/>
        <v>5984.644176</v>
      </c>
      <c r="AA14" s="98">
        <f t="shared" si="9"/>
        <v>3590.7865055999996</v>
      </c>
      <c r="AB14" s="12">
        <f t="shared" si="17"/>
        <v>0</v>
      </c>
      <c r="AC14" s="27">
        <f t="shared" si="18"/>
        <v>0</v>
      </c>
      <c r="AD14" s="96">
        <f>U14*AC14</f>
        <v>0</v>
      </c>
      <c r="AE14"/>
      <c r="AF14" s="99">
        <f t="shared" si="11"/>
        <v>7490.88</v>
      </c>
      <c r="AG14" s="99">
        <f t="shared" si="12"/>
        <v>2150.631648</v>
      </c>
      <c r="AH14" s="99">
        <f t="shared" si="13"/>
        <v>9641.511648</v>
      </c>
      <c r="AI14" s="95"/>
      <c r="AJ14" s="95"/>
      <c r="AK14" s="95">
        <f t="shared" si="14"/>
        <v>9641.511648</v>
      </c>
      <c r="AL14" s="95">
        <f>T14-AK14</f>
        <v>0</v>
      </c>
    </row>
    <row r="15" spans="1:38" s="29" customFormat="1" ht="15">
      <c r="A15" s="26" t="s">
        <v>33</v>
      </c>
      <c r="B15" s="125">
        <v>2053</v>
      </c>
      <c r="C15" s="7" t="s">
        <v>34</v>
      </c>
      <c r="D15" s="29" t="s">
        <v>40</v>
      </c>
      <c r="E15" s="7" t="s">
        <v>0</v>
      </c>
      <c r="F15" t="s">
        <v>36</v>
      </c>
      <c r="G15" s="75" t="s">
        <v>43</v>
      </c>
      <c r="H15" s="5">
        <v>3</v>
      </c>
      <c r="I15" s="29">
        <f t="shared" si="2"/>
        <v>30</v>
      </c>
      <c r="K15" s="100">
        <f>IF(E15="UGRD",H15*I15*'FY20 Table'!$G$7,IF(E15="GRAD",H15*I15*'FY20 Table'!$G$8))</f>
        <v>21610.8</v>
      </c>
      <c r="L15" s="140" t="s">
        <v>74</v>
      </c>
      <c r="N15" s="29">
        <f>VLOOKUP(G15,'FY20 Table'!$A$1:C20,3,FALSE)</f>
        <v>1</v>
      </c>
      <c r="O15" s="101">
        <f>VLOOKUP(G15,'FY20 Table'!$A$1:B20,2,FALSE)</f>
        <v>45383.2884</v>
      </c>
      <c r="P15" s="95">
        <f t="shared" si="19"/>
        <v>3403.74663</v>
      </c>
      <c r="Q15" s="95">
        <f>IF(N15=1,P15*'FY20 Table'!$G$1,IF(N15=2,P15*'FY20 Table'!$G$6,IF(N15=3,P15*'FY20 Table'!$G$2,IF(N15=4,P15*'FY20 Table'!$G$4,IF(N15=5,P15*'FY20 Table'!$G$3,)))))</f>
        <v>977.2156574730001</v>
      </c>
      <c r="R15" s="95">
        <f t="shared" si="3"/>
        <v>4380.962287473</v>
      </c>
      <c r="S15" s="95"/>
      <c r="T15" s="95">
        <f t="shared" si="4"/>
        <v>4380.962287473</v>
      </c>
      <c r="U15" s="96">
        <f t="shared" si="5"/>
        <v>17229.837712526998</v>
      </c>
      <c r="V15"/>
      <c r="W15" s="15">
        <f t="shared" si="6"/>
        <v>30</v>
      </c>
      <c r="X15" s="27">
        <f t="shared" si="16"/>
        <v>1</v>
      </c>
      <c r="Y15" s="98">
        <f t="shared" si="7"/>
        <v>3445.9675425053997</v>
      </c>
      <c r="Z15" s="133">
        <f t="shared" si="8"/>
        <v>8614.918856263499</v>
      </c>
      <c r="AA15" s="98">
        <f t="shared" si="9"/>
        <v>5168.951313758099</v>
      </c>
      <c r="AB15" s="12">
        <f t="shared" si="17"/>
        <v>0</v>
      </c>
      <c r="AC15" s="27">
        <f t="shared" si="18"/>
        <v>0</v>
      </c>
      <c r="AD15" s="96">
        <f>U15*AC15</f>
        <v>0</v>
      </c>
      <c r="AE15"/>
      <c r="AF15" s="99">
        <f t="shared" si="11"/>
        <v>3403.74663</v>
      </c>
      <c r="AG15" s="99">
        <f t="shared" si="12"/>
        <v>977.2156574730001</v>
      </c>
      <c r="AH15" s="99">
        <f t="shared" si="13"/>
        <v>4380.962287473</v>
      </c>
      <c r="AI15" s="95"/>
      <c r="AJ15" s="95"/>
      <c r="AK15" s="95">
        <f t="shared" si="14"/>
        <v>4380.962287473</v>
      </c>
      <c r="AL15" s="95">
        <f>T15-AK15</f>
        <v>0</v>
      </c>
    </row>
    <row r="16" spans="1:38" s="29" customFormat="1" ht="15">
      <c r="A16" s="26" t="s">
        <v>33</v>
      </c>
      <c r="B16" s="125">
        <v>3633</v>
      </c>
      <c r="C16" s="7" t="s">
        <v>34</v>
      </c>
      <c r="D16" s="29" t="s">
        <v>35</v>
      </c>
      <c r="E16" s="7" t="s">
        <v>0</v>
      </c>
      <c r="F16" t="s">
        <v>36</v>
      </c>
      <c r="G16" s="75" t="s">
        <v>73</v>
      </c>
      <c r="H16" s="5">
        <v>3</v>
      </c>
      <c r="I16" s="29">
        <f t="shared" si="2"/>
        <v>30</v>
      </c>
      <c r="K16" s="100">
        <f>IF(E16="UGRD",H16*I16*'FY20 Table'!$G$7,IF(E16="GRAD",H16*I16*'FY20 Table'!$G$8))</f>
        <v>21610.8</v>
      </c>
      <c r="L16" s="140" t="s">
        <v>47</v>
      </c>
      <c r="N16" s="29">
        <f>VLOOKUP(G16,'FY20 Table'!$A$1:C24,3,FALSE)</f>
        <v>1</v>
      </c>
      <c r="O16" s="101">
        <f>VLOOKUP(G16,'FY20 Table'!$A$1:B24,2,FALSE)</f>
        <v>62424</v>
      </c>
      <c r="P16" s="95">
        <f t="shared" si="19"/>
        <v>7490.88</v>
      </c>
      <c r="Q16" s="95">
        <f>IF(N16=1,P16*'FY20 Table'!$G$1,IF(N16=2,P16*'FY20 Table'!$G$6,IF(N16=3,P16*'FY20 Table'!$G$2,IF(N16=4,P16*'FY20 Table'!$G$4,IF(N16=5,P16*'FY20 Table'!$G$3,)))))</f>
        <v>2150.631648</v>
      </c>
      <c r="R16" s="95">
        <f t="shared" si="3"/>
        <v>9641.511648</v>
      </c>
      <c r="S16" s="95"/>
      <c r="T16" s="95">
        <f t="shared" si="4"/>
        <v>9641.511648</v>
      </c>
      <c r="U16" s="96">
        <f t="shared" si="5"/>
        <v>11969.288352</v>
      </c>
      <c r="V16"/>
      <c r="W16" s="15">
        <f t="shared" si="6"/>
        <v>30</v>
      </c>
      <c r="X16" s="27">
        <f t="shared" si="16"/>
        <v>1</v>
      </c>
      <c r="Y16" s="98">
        <f t="shared" si="7"/>
        <v>2393.8576704</v>
      </c>
      <c r="Z16" s="133">
        <f t="shared" si="8"/>
        <v>5984.644176</v>
      </c>
      <c r="AA16" s="98">
        <f t="shared" si="9"/>
        <v>3590.7865055999996</v>
      </c>
      <c r="AB16" s="12">
        <f t="shared" si="17"/>
        <v>0</v>
      </c>
      <c r="AC16" s="27">
        <f t="shared" si="18"/>
        <v>0</v>
      </c>
      <c r="AD16" s="96">
        <f>U16*AC16</f>
        <v>0</v>
      </c>
      <c r="AE16"/>
      <c r="AF16" s="99">
        <f t="shared" si="11"/>
        <v>7490.88</v>
      </c>
      <c r="AG16" s="99">
        <f t="shared" si="12"/>
        <v>2150.631648</v>
      </c>
      <c r="AH16" s="99">
        <f t="shared" si="13"/>
        <v>9641.511648</v>
      </c>
      <c r="AI16" s="95"/>
      <c r="AJ16" s="95"/>
      <c r="AK16" s="95">
        <f t="shared" si="14"/>
        <v>9641.511648</v>
      </c>
      <c r="AL16" s="95">
        <f>T16-AK16</f>
        <v>0</v>
      </c>
    </row>
    <row r="17" spans="1:38" s="29" customFormat="1" ht="15.75" thickBot="1">
      <c r="A17" s="26" t="s">
        <v>33</v>
      </c>
      <c r="B17" s="125">
        <v>4333</v>
      </c>
      <c r="C17" s="7" t="s">
        <v>34</v>
      </c>
      <c r="D17" s="29" t="s">
        <v>41</v>
      </c>
      <c r="E17" s="7" t="s">
        <v>0</v>
      </c>
      <c r="F17" t="s">
        <v>36</v>
      </c>
      <c r="G17" s="76" t="s">
        <v>44</v>
      </c>
      <c r="H17" s="5">
        <v>3</v>
      </c>
      <c r="I17" s="29">
        <f t="shared" si="2"/>
        <v>30</v>
      </c>
      <c r="K17" s="100">
        <f>IF(E17="UGRD",H17*I17*'FY20 Table'!$G$7,IF(E17="GRAD",H17*I17*'FY20 Table'!$G$8))</f>
        <v>21610.8</v>
      </c>
      <c r="L17" s="141" t="s">
        <v>77</v>
      </c>
      <c r="N17" s="29">
        <f>VLOOKUP(G17,'FY20 Table'!$A$1:C25,3,FALSE)</f>
        <v>1</v>
      </c>
      <c r="O17" s="101">
        <f>VLOOKUP(G17,'FY20 Table'!$A$1:B25,2,FALSE)</f>
        <v>95508.72</v>
      </c>
      <c r="P17" s="95">
        <f t="shared" si="19"/>
        <v>7163.154000000001</v>
      </c>
      <c r="Q17" s="95">
        <f>IF(N17=1,P17*'FY20 Table'!$G$1,IF(N17=2,P17*'FY20 Table'!$G$6,IF(N17=3,P17*'FY20 Table'!$G$2,IF(N17=4,P17*'FY20 Table'!$G$4,IF(N17=5,P17*'FY20 Table'!$G$3,)))))</f>
        <v>2056.5415134000004</v>
      </c>
      <c r="R17" s="95">
        <f t="shared" si="3"/>
        <v>9219.695513400002</v>
      </c>
      <c r="S17" s="95"/>
      <c r="T17" s="95">
        <f t="shared" si="4"/>
        <v>9219.695513400002</v>
      </c>
      <c r="U17" s="96">
        <f t="shared" si="5"/>
        <v>12391.104486599997</v>
      </c>
      <c r="V17"/>
      <c r="W17" s="15">
        <f t="shared" si="6"/>
        <v>30</v>
      </c>
      <c r="X17" s="27">
        <f t="shared" si="16"/>
        <v>1</v>
      </c>
      <c r="Y17" s="98">
        <f t="shared" si="7"/>
        <v>2478.2208973199995</v>
      </c>
      <c r="Z17" s="133">
        <f t="shared" si="8"/>
        <v>6195.552243299999</v>
      </c>
      <c r="AA17" s="98">
        <f t="shared" si="9"/>
        <v>3717.3313459799992</v>
      </c>
      <c r="AB17" s="12">
        <f t="shared" si="17"/>
        <v>0</v>
      </c>
      <c r="AC17" s="27">
        <f t="shared" si="18"/>
        <v>0</v>
      </c>
      <c r="AD17" s="96">
        <f>U17*AC17</f>
        <v>0</v>
      </c>
      <c r="AE17"/>
      <c r="AF17" s="99" t="str">
        <f t="shared" si="11"/>
        <v>0.00</v>
      </c>
      <c r="AG17" s="99" t="str">
        <f t="shared" si="12"/>
        <v>0.00</v>
      </c>
      <c r="AH17" s="99" t="str">
        <f t="shared" si="13"/>
        <v>0.00</v>
      </c>
      <c r="AI17" s="95"/>
      <c r="AJ17" s="95"/>
      <c r="AK17" s="95">
        <f t="shared" si="14"/>
        <v>0</v>
      </c>
      <c r="AL17" s="95">
        <f>T17-AK17</f>
        <v>9219.695513400002</v>
      </c>
    </row>
    <row r="18" spans="26:38" ht="15">
      <c r="Z18" s="77"/>
      <c r="AF18" s="28"/>
      <c r="AG18" s="28"/>
      <c r="AH18" s="28"/>
      <c r="AI18" s="28"/>
      <c r="AJ18" s="28"/>
      <c r="AK18" s="28"/>
      <c r="AL18" s="28"/>
    </row>
    <row r="19" spans="1:38" s="29" customFormat="1" ht="15">
      <c r="A19" s="56"/>
      <c r="H19" s="57"/>
      <c r="K19" s="58"/>
      <c r="O19" s="59"/>
      <c r="P19" s="60"/>
      <c r="Q19" s="60"/>
      <c r="R19" s="60"/>
      <c r="S19"/>
      <c r="T19"/>
      <c r="U19"/>
      <c r="V19"/>
      <c r="W19"/>
      <c r="X19"/>
      <c r="Y19"/>
      <c r="Z19" s="77"/>
      <c r="AA19"/>
      <c r="AB19"/>
      <c r="AC19"/>
      <c r="AD19"/>
      <c r="AE19"/>
      <c r="AF19" s="28"/>
      <c r="AG19" s="28"/>
      <c r="AH19" s="28"/>
      <c r="AI19" s="28"/>
      <c r="AJ19" s="28"/>
      <c r="AK19" s="28"/>
      <c r="AL19" s="28"/>
    </row>
    <row r="20" spans="1:31" s="29" customFormat="1" ht="15">
      <c r="A20" s="56"/>
      <c r="H20" s="57"/>
      <c r="K20" s="58"/>
      <c r="O20" s="59"/>
      <c r="P20" s="60"/>
      <c r="Q20" s="60"/>
      <c r="R20" s="60"/>
      <c r="S20" s="61"/>
      <c r="T20" s="60"/>
      <c r="U20" s="60"/>
      <c r="V20"/>
      <c r="W20" s="60"/>
      <c r="X20" s="62"/>
      <c r="Z20" s="134"/>
      <c r="AE20"/>
    </row>
    <row r="21" spans="1:38" s="29" customFormat="1" ht="15">
      <c r="A21" s="56"/>
      <c r="G21" s="237" t="s">
        <v>97</v>
      </c>
      <c r="H21" s="57"/>
      <c r="I21" s="63"/>
      <c r="J21" s="63"/>
      <c r="K21" s="144"/>
      <c r="L21" s="145"/>
      <c r="M21" s="146"/>
      <c r="N21" s="146"/>
      <c r="O21" s="146"/>
      <c r="P21" s="147"/>
      <c r="Q21" s="147"/>
      <c r="R21" s="147"/>
      <c r="S21" s="147"/>
      <c r="T21" s="147"/>
      <c r="U21" s="144"/>
      <c r="V21" s="148"/>
      <c r="W21" s="149"/>
      <c r="X21" s="150"/>
      <c r="Y21" s="151"/>
      <c r="Z21" s="152"/>
      <c r="AA21" s="151"/>
      <c r="AB21" s="149"/>
      <c r="AC21" s="150"/>
      <c r="AD21" s="144"/>
      <c r="AE21" s="148"/>
      <c r="AF21" s="147"/>
      <c r="AG21" s="147"/>
      <c r="AH21" s="147"/>
      <c r="AI21" s="147"/>
      <c r="AJ21" s="147"/>
      <c r="AK21" s="147"/>
      <c r="AL21" s="147"/>
    </row>
    <row r="22" spans="1:31" s="29" customFormat="1" ht="15">
      <c r="A22" s="56"/>
      <c r="G22" s="238"/>
      <c r="H22" s="57"/>
      <c r="K22" s="58"/>
      <c r="O22" s="59"/>
      <c r="P22" s="60"/>
      <c r="Q22" s="60"/>
      <c r="R22" s="60"/>
      <c r="S22" s="61"/>
      <c r="T22" s="60"/>
      <c r="U22" s="60"/>
      <c r="V22" s="148"/>
      <c r="W22" s="60"/>
      <c r="X22" s="62"/>
      <c r="Z22" s="134"/>
      <c r="AE22" s="148"/>
    </row>
    <row r="23" spans="1:38" s="29" customFormat="1" ht="15">
      <c r="A23" s="56"/>
      <c r="G23" s="238"/>
      <c r="H23" s="57"/>
      <c r="I23" s="63"/>
      <c r="J23" s="63"/>
      <c r="K23" s="144"/>
      <c r="L23" s="145"/>
      <c r="M23" s="146"/>
      <c r="N23" s="146"/>
      <c r="O23" s="146"/>
      <c r="P23" s="147"/>
      <c r="Q23" s="147"/>
      <c r="R23" s="147"/>
      <c r="S23" s="147"/>
      <c r="T23" s="147"/>
      <c r="U23" s="144"/>
      <c r="V23" s="148"/>
      <c r="W23" s="149"/>
      <c r="X23" s="150"/>
      <c r="Y23" s="151"/>
      <c r="Z23" s="152"/>
      <c r="AA23" s="151"/>
      <c r="AB23" s="149"/>
      <c r="AC23" s="150"/>
      <c r="AD23" s="144"/>
      <c r="AE23" s="148"/>
      <c r="AF23" s="147"/>
      <c r="AG23" s="147"/>
      <c r="AH23" s="147"/>
      <c r="AI23" s="147"/>
      <c r="AJ23" s="147"/>
      <c r="AK23" s="147"/>
      <c r="AL23" s="147"/>
    </row>
    <row r="24" spans="1:31" s="29" customFormat="1" ht="15">
      <c r="A24" s="56"/>
      <c r="G24" s="238"/>
      <c r="H24" s="57"/>
      <c r="K24" s="58"/>
      <c r="O24" s="59"/>
      <c r="P24" s="60"/>
      <c r="Q24" s="60"/>
      <c r="R24" s="60"/>
      <c r="S24" s="61"/>
      <c r="T24" s="60"/>
      <c r="U24" s="60"/>
      <c r="V24" s="148"/>
      <c r="W24" s="60"/>
      <c r="X24" s="62"/>
      <c r="Z24" s="134"/>
      <c r="AE24" s="148"/>
    </row>
    <row r="25" spans="1:31" s="29" customFormat="1" ht="15">
      <c r="A25" s="56"/>
      <c r="G25" s="238"/>
      <c r="H25" s="57"/>
      <c r="K25" s="58"/>
      <c r="O25" s="59"/>
      <c r="P25" s="60"/>
      <c r="Q25" s="60"/>
      <c r="R25" s="60"/>
      <c r="S25" s="61"/>
      <c r="T25" s="60"/>
      <c r="U25" s="60"/>
      <c r="V25" s="148"/>
      <c r="W25" s="60"/>
      <c r="X25" s="62"/>
      <c r="Z25" s="134"/>
      <c r="AC25" s="63"/>
      <c r="AD25" s="63"/>
      <c r="AE25" s="148"/>
    </row>
    <row r="26" spans="1:38" s="63" customFormat="1" ht="15">
      <c r="A26" s="56"/>
      <c r="B26" s="29"/>
      <c r="C26" s="29"/>
      <c r="D26" s="29"/>
      <c r="E26" s="29"/>
      <c r="F26" s="29"/>
      <c r="G26" s="238"/>
      <c r="H26" s="57"/>
      <c r="K26" s="144"/>
      <c r="L26" s="145"/>
      <c r="M26" s="146"/>
      <c r="N26" s="146"/>
      <c r="O26" s="146"/>
      <c r="P26" s="147"/>
      <c r="Q26" s="147"/>
      <c r="R26" s="147"/>
      <c r="S26" s="147"/>
      <c r="T26" s="147"/>
      <c r="U26" s="144"/>
      <c r="V26" s="148"/>
      <c r="W26" s="149"/>
      <c r="X26" s="150"/>
      <c r="Y26" s="151"/>
      <c r="Z26" s="152"/>
      <c r="AA26" s="151"/>
      <c r="AB26" s="149"/>
      <c r="AC26" s="150"/>
      <c r="AD26" s="144"/>
      <c r="AE26" s="148"/>
      <c r="AF26" s="147"/>
      <c r="AG26" s="147"/>
      <c r="AH26" s="147"/>
      <c r="AI26" s="147"/>
      <c r="AJ26" s="147"/>
      <c r="AK26" s="147"/>
      <c r="AL26" s="147"/>
    </row>
    <row r="27" spans="1:31" s="29" customFormat="1" ht="15">
      <c r="A27" s="56"/>
      <c r="G27" s="238"/>
      <c r="H27" s="57"/>
      <c r="K27" s="58"/>
      <c r="O27" s="59"/>
      <c r="P27" s="60"/>
      <c r="Q27" s="60"/>
      <c r="R27" s="60"/>
      <c r="S27" s="61"/>
      <c r="T27" s="60"/>
      <c r="U27" s="60"/>
      <c r="V27" s="148"/>
      <c r="W27" s="60"/>
      <c r="X27" s="62"/>
      <c r="Z27" s="134"/>
      <c r="AE27" s="148"/>
    </row>
    <row r="28" spans="1:38" s="29" customFormat="1" ht="15">
      <c r="A28" s="56"/>
      <c r="G28" s="238"/>
      <c r="H28" s="57"/>
      <c r="I28" s="63"/>
      <c r="J28" s="63"/>
      <c r="K28" s="144"/>
      <c r="L28" s="145"/>
      <c r="M28" s="146"/>
      <c r="N28" s="146"/>
      <c r="O28" s="146"/>
      <c r="P28" s="147"/>
      <c r="Q28" s="147"/>
      <c r="R28" s="147"/>
      <c r="S28" s="147"/>
      <c r="T28" s="147"/>
      <c r="U28" s="144"/>
      <c r="V28" s="148"/>
      <c r="W28" s="149"/>
      <c r="X28" s="150"/>
      <c r="Y28" s="151"/>
      <c r="Z28" s="152"/>
      <c r="AA28" s="151"/>
      <c r="AB28" s="149"/>
      <c r="AC28" s="150"/>
      <c r="AD28" s="144"/>
      <c r="AE28" s="148"/>
      <c r="AF28" s="147"/>
      <c r="AG28" s="147"/>
      <c r="AH28" s="147"/>
      <c r="AI28" s="147"/>
      <c r="AJ28" s="147"/>
      <c r="AK28" s="147"/>
      <c r="AL28" s="147"/>
    </row>
    <row r="29" spans="1:31" s="29" customFormat="1" ht="15">
      <c r="A29" s="56"/>
      <c r="G29" s="239"/>
      <c r="H29" s="57"/>
      <c r="K29" s="58"/>
      <c r="O29" s="59"/>
      <c r="P29" s="60"/>
      <c r="Q29" s="60"/>
      <c r="R29" s="60"/>
      <c r="S29" s="61"/>
      <c r="T29" s="60"/>
      <c r="U29" s="60"/>
      <c r="V29" s="148"/>
      <c r="W29" s="60"/>
      <c r="X29" s="62"/>
      <c r="Z29" s="134"/>
      <c r="AE29" s="148"/>
    </row>
    <row r="30" spans="1:31" s="29" customFormat="1" ht="15">
      <c r="A30" s="56"/>
      <c r="H30" s="57"/>
      <c r="K30" s="58"/>
      <c r="O30" s="59"/>
      <c r="P30" s="60"/>
      <c r="Q30" s="60"/>
      <c r="R30" s="60"/>
      <c r="S30" s="61"/>
      <c r="T30" s="60"/>
      <c r="U30" s="60"/>
      <c r="V30" s="148"/>
      <c r="W30" s="60"/>
      <c r="X30" s="62"/>
      <c r="Z30" s="134"/>
      <c r="AE30" s="148"/>
    </row>
    <row r="31" spans="1:38" s="29" customFormat="1" ht="15">
      <c r="A31" s="56"/>
      <c r="H31" s="57"/>
      <c r="I31" s="63"/>
      <c r="J31" s="63"/>
      <c r="K31" s="144"/>
      <c r="L31" s="145"/>
      <c r="M31" s="146"/>
      <c r="N31" s="146"/>
      <c r="O31" s="146"/>
      <c r="P31" s="147"/>
      <c r="Q31" s="147"/>
      <c r="R31" s="147"/>
      <c r="S31" s="147"/>
      <c r="T31" s="147"/>
      <c r="U31" s="144"/>
      <c r="V31" s="148"/>
      <c r="W31" s="149"/>
      <c r="X31" s="150"/>
      <c r="Y31" s="151"/>
      <c r="Z31" s="152"/>
      <c r="AA31" s="151"/>
      <c r="AB31" s="149"/>
      <c r="AC31" s="150"/>
      <c r="AD31" s="144"/>
      <c r="AE31" s="148"/>
      <c r="AF31" s="147"/>
      <c r="AG31" s="147"/>
      <c r="AH31" s="147"/>
      <c r="AI31" s="147"/>
      <c r="AJ31" s="147"/>
      <c r="AK31" s="147"/>
      <c r="AL31" s="147"/>
    </row>
    <row r="32" spans="1:31" s="29" customFormat="1" ht="15">
      <c r="A32" s="56"/>
      <c r="H32" s="57"/>
      <c r="K32" s="58"/>
      <c r="O32" s="59"/>
      <c r="P32" s="60"/>
      <c r="Q32" s="60"/>
      <c r="R32" s="60"/>
      <c r="S32" s="61"/>
      <c r="T32" s="60"/>
      <c r="U32" s="60"/>
      <c r="V32" s="148"/>
      <c r="W32" s="60"/>
      <c r="X32" s="62"/>
      <c r="Z32" s="134"/>
      <c r="AE32" s="148"/>
    </row>
    <row r="33" spans="1:38" s="29" customFormat="1" ht="15">
      <c r="A33" s="56"/>
      <c r="H33" s="57"/>
      <c r="I33" s="63"/>
      <c r="J33" s="63"/>
      <c r="K33" s="144"/>
      <c r="L33" s="145"/>
      <c r="M33" s="146"/>
      <c r="N33" s="146"/>
      <c r="O33" s="146"/>
      <c r="P33" s="147"/>
      <c r="Q33" s="147"/>
      <c r="R33" s="147"/>
      <c r="S33" s="147"/>
      <c r="T33" s="147"/>
      <c r="U33" s="144"/>
      <c r="V33" s="148"/>
      <c r="W33" s="149"/>
      <c r="X33" s="150"/>
      <c r="Y33" s="151"/>
      <c r="Z33" s="152"/>
      <c r="AA33" s="151"/>
      <c r="AB33" s="149"/>
      <c r="AC33" s="150"/>
      <c r="AD33" s="144"/>
      <c r="AE33" s="148"/>
      <c r="AF33" s="147"/>
      <c r="AG33" s="147"/>
      <c r="AH33" s="147"/>
      <c r="AI33" s="147"/>
      <c r="AJ33" s="147"/>
      <c r="AK33" s="147"/>
      <c r="AL33" s="147"/>
    </row>
    <row r="34" spans="1:31" s="29" customFormat="1" ht="15">
      <c r="A34" s="56"/>
      <c r="H34" s="57"/>
      <c r="K34" s="58"/>
      <c r="O34" s="59"/>
      <c r="P34" s="60"/>
      <c r="Q34" s="60"/>
      <c r="R34" s="60"/>
      <c r="S34" s="61"/>
      <c r="T34" s="60"/>
      <c r="U34" s="60"/>
      <c r="V34" s="148"/>
      <c r="W34" s="60"/>
      <c r="X34" s="62"/>
      <c r="Z34" s="134"/>
      <c r="AE34" s="148"/>
    </row>
    <row r="35" spans="1:31" s="29" customFormat="1" ht="15">
      <c r="A35" s="56"/>
      <c r="H35" s="57"/>
      <c r="K35" s="58"/>
      <c r="O35" s="59"/>
      <c r="P35" s="60"/>
      <c r="Q35" s="60"/>
      <c r="R35" s="60"/>
      <c r="S35" s="61"/>
      <c r="T35" s="60"/>
      <c r="U35" s="60"/>
      <c r="V35" s="148"/>
      <c r="W35" s="60"/>
      <c r="X35" s="62"/>
      <c r="Z35" s="134"/>
      <c r="AE35" s="148"/>
    </row>
    <row r="36" spans="1:38" s="29" customFormat="1" ht="15">
      <c r="A36" s="56"/>
      <c r="H36" s="57"/>
      <c r="I36" s="153"/>
      <c r="J36" s="63"/>
      <c r="K36" s="144"/>
      <c r="L36" s="145"/>
      <c r="M36" s="146"/>
      <c r="N36" s="146"/>
      <c r="O36" s="146"/>
      <c r="P36" s="147"/>
      <c r="Q36" s="147"/>
      <c r="R36" s="147"/>
      <c r="S36" s="147"/>
      <c r="T36" s="147"/>
      <c r="U36" s="144"/>
      <c r="V36" s="148"/>
      <c r="W36" s="149"/>
      <c r="X36" s="150"/>
      <c r="Y36" s="151"/>
      <c r="Z36" s="152"/>
      <c r="AA36" s="151"/>
      <c r="AB36" s="149"/>
      <c r="AC36" s="150"/>
      <c r="AD36" s="144"/>
      <c r="AE36" s="148"/>
      <c r="AF36" s="147"/>
      <c r="AG36" s="147"/>
      <c r="AH36" s="147"/>
      <c r="AI36" s="147"/>
      <c r="AJ36" s="147"/>
      <c r="AK36" s="147"/>
      <c r="AL36" s="147"/>
    </row>
    <row r="37" spans="1:31" s="29" customFormat="1" ht="15">
      <c r="A37" s="56"/>
      <c r="H37" s="57"/>
      <c r="I37" s="119"/>
      <c r="K37" s="58"/>
      <c r="O37" s="59"/>
      <c r="P37" s="60"/>
      <c r="Q37" s="60"/>
      <c r="R37" s="60"/>
      <c r="S37" s="61"/>
      <c r="T37" s="60"/>
      <c r="U37" s="60"/>
      <c r="V37" s="148"/>
      <c r="W37" s="60"/>
      <c r="X37" s="62"/>
      <c r="Z37" s="134"/>
      <c r="AE37" s="148"/>
    </row>
    <row r="38" spans="1:38" s="29" customFormat="1" ht="15">
      <c r="A38" s="56"/>
      <c r="H38" s="57"/>
      <c r="I38" s="153"/>
      <c r="J38" s="63"/>
      <c r="K38" s="144"/>
      <c r="L38" s="145"/>
      <c r="M38" s="146"/>
      <c r="N38" s="146"/>
      <c r="O38" s="146"/>
      <c r="P38" s="147"/>
      <c r="Q38" s="147"/>
      <c r="R38" s="147"/>
      <c r="S38" s="147"/>
      <c r="T38" s="147"/>
      <c r="U38" s="144"/>
      <c r="V38" s="148"/>
      <c r="W38" s="149"/>
      <c r="X38" s="150"/>
      <c r="Y38" s="151"/>
      <c r="Z38" s="152"/>
      <c r="AA38" s="151"/>
      <c r="AB38" s="149"/>
      <c r="AC38" s="150"/>
      <c r="AD38" s="144"/>
      <c r="AE38" s="148"/>
      <c r="AF38" s="147"/>
      <c r="AG38" s="147"/>
      <c r="AH38" s="147"/>
      <c r="AI38" s="147"/>
      <c r="AJ38" s="147"/>
      <c r="AK38" s="147"/>
      <c r="AL38" s="147"/>
    </row>
    <row r="39" spans="1:31" s="29" customFormat="1" ht="15">
      <c r="A39" s="56"/>
      <c r="H39" s="57"/>
      <c r="I39" s="119"/>
      <c r="K39" s="58"/>
      <c r="O39" s="59"/>
      <c r="P39" s="60"/>
      <c r="Q39" s="60"/>
      <c r="R39" s="60"/>
      <c r="S39" s="61"/>
      <c r="T39" s="60"/>
      <c r="U39" s="60"/>
      <c r="V39" s="148"/>
      <c r="W39" s="60"/>
      <c r="X39" s="62"/>
      <c r="Z39" s="134"/>
      <c r="AE39" s="148"/>
    </row>
    <row r="40" spans="1:31" s="29" customFormat="1" ht="15">
      <c r="A40" s="56"/>
      <c r="H40" s="57"/>
      <c r="I40" s="119"/>
      <c r="K40" s="58"/>
      <c r="O40" s="59"/>
      <c r="P40" s="60"/>
      <c r="Q40" s="60"/>
      <c r="R40" s="60"/>
      <c r="S40" s="61"/>
      <c r="T40" s="60"/>
      <c r="U40" s="60"/>
      <c r="V40" s="148"/>
      <c r="W40" s="60"/>
      <c r="X40" s="62"/>
      <c r="Z40" s="134"/>
      <c r="AE40" s="148"/>
    </row>
    <row r="41" spans="1:38" s="29" customFormat="1" ht="15">
      <c r="A41" s="56"/>
      <c r="H41" s="57"/>
      <c r="I41" s="153"/>
      <c r="J41" s="63"/>
      <c r="K41" s="144"/>
      <c r="L41" s="145"/>
      <c r="M41" s="146"/>
      <c r="N41" s="146"/>
      <c r="O41" s="146"/>
      <c r="P41" s="147"/>
      <c r="Q41" s="147"/>
      <c r="R41" s="147"/>
      <c r="S41" s="147"/>
      <c r="T41" s="147"/>
      <c r="U41" s="144"/>
      <c r="V41" s="148"/>
      <c r="W41" s="149"/>
      <c r="X41" s="150"/>
      <c r="Y41" s="151"/>
      <c r="Z41" s="152"/>
      <c r="AA41" s="151"/>
      <c r="AB41" s="149"/>
      <c r="AC41" s="150"/>
      <c r="AD41" s="144"/>
      <c r="AE41" s="148"/>
      <c r="AF41" s="147"/>
      <c r="AG41" s="147"/>
      <c r="AH41" s="147"/>
      <c r="AI41" s="147"/>
      <c r="AJ41" s="147"/>
      <c r="AK41" s="147"/>
      <c r="AL41" s="147"/>
    </row>
    <row r="42" spans="1:31" s="29" customFormat="1" ht="15">
      <c r="A42" s="56"/>
      <c r="H42" s="57"/>
      <c r="I42" s="119"/>
      <c r="K42" s="58"/>
      <c r="O42" s="59"/>
      <c r="P42" s="60"/>
      <c r="Q42" s="60"/>
      <c r="R42" s="60"/>
      <c r="S42" s="61"/>
      <c r="T42" s="60"/>
      <c r="U42" s="60"/>
      <c r="V42" s="148"/>
      <c r="W42" s="60"/>
      <c r="X42" s="62"/>
      <c r="Z42" s="134"/>
      <c r="AE42" s="148"/>
    </row>
    <row r="43" spans="1:38" s="29" customFormat="1" ht="15">
      <c r="A43" s="56"/>
      <c r="H43" s="57"/>
      <c r="I43" s="153"/>
      <c r="J43" s="63"/>
      <c r="K43" s="144"/>
      <c r="L43" s="145"/>
      <c r="M43" s="146"/>
      <c r="N43" s="146"/>
      <c r="O43" s="146"/>
      <c r="P43" s="147"/>
      <c r="Q43" s="147"/>
      <c r="R43" s="147"/>
      <c r="S43" s="147"/>
      <c r="T43" s="147"/>
      <c r="U43" s="144"/>
      <c r="V43" s="148"/>
      <c r="W43" s="149"/>
      <c r="X43" s="150"/>
      <c r="Y43" s="151"/>
      <c r="Z43" s="152"/>
      <c r="AA43" s="151"/>
      <c r="AB43" s="149"/>
      <c r="AC43" s="150"/>
      <c r="AD43" s="144"/>
      <c r="AE43" s="148"/>
      <c r="AF43" s="147"/>
      <c r="AG43" s="147"/>
      <c r="AH43" s="147"/>
      <c r="AI43" s="147"/>
      <c r="AJ43" s="147"/>
      <c r="AK43" s="147"/>
      <c r="AL43" s="147"/>
    </row>
    <row r="44" spans="1:31" s="29" customFormat="1" ht="15">
      <c r="A44" s="56"/>
      <c r="H44" s="57"/>
      <c r="K44" s="58"/>
      <c r="O44" s="59"/>
      <c r="P44" s="60"/>
      <c r="Q44" s="60"/>
      <c r="R44" s="60"/>
      <c r="S44" s="61"/>
      <c r="T44" s="60"/>
      <c r="U44" s="60"/>
      <c r="V44" s="148"/>
      <c r="W44" s="60"/>
      <c r="X44" s="62"/>
      <c r="Z44" s="134"/>
      <c r="AC44" s="63"/>
      <c r="AD44" s="63"/>
      <c r="AE44" s="148"/>
    </row>
    <row r="45" spans="1:31" s="29" customFormat="1" ht="15">
      <c r="A45" s="64"/>
      <c r="C45" s="63"/>
      <c r="E45" s="63"/>
      <c r="H45" s="57"/>
      <c r="K45" s="58"/>
      <c r="O45" s="59"/>
      <c r="P45" s="60"/>
      <c r="Q45" s="60"/>
      <c r="R45" s="60"/>
      <c r="S45" s="61"/>
      <c r="T45" s="60"/>
      <c r="U45" s="60"/>
      <c r="V45" s="148"/>
      <c r="W45" s="60"/>
      <c r="X45" s="62"/>
      <c r="Z45" s="134"/>
      <c r="AE45" s="148"/>
    </row>
    <row r="46" spans="1:38" s="29" customFormat="1" ht="15">
      <c r="A46" s="64"/>
      <c r="C46" s="63"/>
      <c r="E46" s="63"/>
      <c r="H46" s="57"/>
      <c r="I46" s="63"/>
      <c r="J46" s="63"/>
      <c r="K46" s="144"/>
      <c r="L46" s="145"/>
      <c r="M46" s="146"/>
      <c r="N46" s="146"/>
      <c r="O46" s="146"/>
      <c r="P46" s="147"/>
      <c r="Q46" s="147"/>
      <c r="R46" s="147"/>
      <c r="S46" s="147"/>
      <c r="T46" s="147"/>
      <c r="U46" s="144"/>
      <c r="V46" s="148"/>
      <c r="W46" s="149"/>
      <c r="X46" s="150"/>
      <c r="Y46" s="151"/>
      <c r="Z46" s="152"/>
      <c r="AA46" s="151"/>
      <c r="AB46" s="149"/>
      <c r="AC46" s="150"/>
      <c r="AD46" s="144"/>
      <c r="AE46" s="148"/>
      <c r="AF46" s="147"/>
      <c r="AG46" s="147"/>
      <c r="AH46" s="147"/>
      <c r="AI46" s="147"/>
      <c r="AJ46" s="147"/>
      <c r="AK46" s="147"/>
      <c r="AL46" s="147"/>
    </row>
    <row r="47" spans="1:31" s="29" customFormat="1" ht="15">
      <c r="A47" s="64"/>
      <c r="C47" s="63"/>
      <c r="E47" s="63"/>
      <c r="H47" s="57"/>
      <c r="K47" s="58"/>
      <c r="O47" s="59"/>
      <c r="P47" s="60"/>
      <c r="Q47" s="60"/>
      <c r="R47" s="60"/>
      <c r="S47" s="61"/>
      <c r="T47" s="60"/>
      <c r="U47" s="60"/>
      <c r="V47" s="148"/>
      <c r="W47" s="60"/>
      <c r="X47" s="62"/>
      <c r="Z47" s="134"/>
      <c r="AE47" s="148"/>
    </row>
    <row r="48" spans="1:38" s="29" customFormat="1" ht="15">
      <c r="A48" s="64"/>
      <c r="C48" s="63"/>
      <c r="E48" s="63"/>
      <c r="H48" s="57"/>
      <c r="I48" s="63"/>
      <c r="J48" s="63"/>
      <c r="K48" s="144"/>
      <c r="L48" s="145"/>
      <c r="M48" s="146"/>
      <c r="N48" s="146"/>
      <c r="O48" s="146"/>
      <c r="P48" s="147"/>
      <c r="Q48" s="147"/>
      <c r="R48" s="147"/>
      <c r="S48" s="147"/>
      <c r="T48" s="147"/>
      <c r="U48" s="144"/>
      <c r="V48" s="148"/>
      <c r="W48" s="149"/>
      <c r="X48" s="150"/>
      <c r="Y48" s="151"/>
      <c r="Z48" s="152"/>
      <c r="AA48" s="151"/>
      <c r="AB48" s="149"/>
      <c r="AC48" s="150"/>
      <c r="AD48" s="144"/>
      <c r="AE48" s="148"/>
      <c r="AF48" s="147"/>
      <c r="AG48" s="147"/>
      <c r="AH48" s="147"/>
      <c r="AI48" s="147"/>
      <c r="AJ48" s="147"/>
      <c r="AK48" s="147"/>
      <c r="AL48" s="147"/>
    </row>
    <row r="49" spans="1:31" s="29" customFormat="1" ht="15">
      <c r="A49" s="64"/>
      <c r="C49" s="63"/>
      <c r="E49" s="63"/>
      <c r="H49" s="57"/>
      <c r="K49" s="58"/>
      <c r="O49" s="59"/>
      <c r="P49" s="60"/>
      <c r="Q49" s="60"/>
      <c r="R49" s="60"/>
      <c r="S49" s="61"/>
      <c r="T49" s="60"/>
      <c r="U49" s="60"/>
      <c r="V49" s="148"/>
      <c r="W49" s="60"/>
      <c r="X49" s="62"/>
      <c r="Z49" s="134"/>
      <c r="AE49" s="148"/>
    </row>
    <row r="50" spans="1:38" s="63" customFormat="1" ht="15">
      <c r="A50" s="64"/>
      <c r="B50" s="29"/>
      <c r="D50" s="29"/>
      <c r="F50" s="29"/>
      <c r="G50" s="29"/>
      <c r="H50" s="57"/>
      <c r="I50" s="29"/>
      <c r="J50" s="29"/>
      <c r="K50" s="58"/>
      <c r="L50" s="29"/>
      <c r="M50" s="29"/>
      <c r="N50" s="29"/>
      <c r="O50" s="59"/>
      <c r="P50" s="60"/>
      <c r="Q50" s="60"/>
      <c r="R50" s="60"/>
      <c r="S50" s="61"/>
      <c r="T50" s="60"/>
      <c r="U50" s="60"/>
      <c r="V50" s="148"/>
      <c r="W50" s="60"/>
      <c r="X50" s="62"/>
      <c r="Y50" s="29"/>
      <c r="Z50" s="134"/>
      <c r="AA50" s="29"/>
      <c r="AB50" s="29"/>
      <c r="AE50" s="148"/>
      <c r="AF50" s="29"/>
      <c r="AG50" s="29"/>
      <c r="AH50" s="29"/>
      <c r="AI50" s="29"/>
      <c r="AJ50" s="29"/>
      <c r="AK50" s="29"/>
      <c r="AL50" s="29"/>
    </row>
    <row r="51" spans="1:38" s="29" customFormat="1" ht="15">
      <c r="A51" s="64"/>
      <c r="C51" s="63"/>
      <c r="E51" s="63"/>
      <c r="H51" s="57"/>
      <c r="I51" s="63"/>
      <c r="J51" s="63"/>
      <c r="K51" s="144"/>
      <c r="L51" s="145"/>
      <c r="M51" s="146"/>
      <c r="N51" s="146"/>
      <c r="O51" s="146"/>
      <c r="P51" s="147"/>
      <c r="Q51" s="147"/>
      <c r="R51" s="147"/>
      <c r="S51" s="147"/>
      <c r="T51" s="147"/>
      <c r="U51" s="144"/>
      <c r="V51" s="148"/>
      <c r="W51" s="149"/>
      <c r="X51" s="150"/>
      <c r="Y51" s="151"/>
      <c r="Z51" s="152"/>
      <c r="AA51" s="151"/>
      <c r="AB51" s="149"/>
      <c r="AC51" s="150"/>
      <c r="AD51" s="144"/>
      <c r="AE51" s="148"/>
      <c r="AF51" s="147"/>
      <c r="AG51" s="147"/>
      <c r="AH51" s="147"/>
      <c r="AI51" s="147"/>
      <c r="AJ51" s="147"/>
      <c r="AK51" s="147"/>
      <c r="AL51" s="147"/>
    </row>
    <row r="52" spans="8:52" ht="15">
      <c r="H52" s="57"/>
      <c r="I52" s="29"/>
      <c r="J52" s="29"/>
      <c r="K52" s="58"/>
      <c r="L52" s="29"/>
      <c r="M52" s="29"/>
      <c r="N52" s="29"/>
      <c r="O52" s="59"/>
      <c r="P52" s="60"/>
      <c r="Q52" s="60"/>
      <c r="R52" s="60"/>
      <c r="S52" s="61"/>
      <c r="T52" s="60"/>
      <c r="U52" s="60"/>
      <c r="V52" s="148"/>
      <c r="W52" s="60"/>
      <c r="X52" s="62"/>
      <c r="Y52" s="29"/>
      <c r="Z52" s="134"/>
      <c r="AA52" s="29"/>
      <c r="AB52" s="29"/>
      <c r="AC52" s="29"/>
      <c r="AD52" s="29"/>
      <c r="AE52" s="148"/>
      <c r="AF52" s="29"/>
      <c r="AG52" s="29"/>
      <c r="AH52" s="29"/>
      <c r="AI52" s="29"/>
      <c r="AJ52" s="29"/>
      <c r="AK52" s="29"/>
      <c r="AL52" s="29"/>
      <c r="AM52" s="29"/>
      <c r="AZ52" s="7"/>
    </row>
    <row r="53" spans="8:52" ht="15.75" thickBot="1">
      <c r="H53" s="57"/>
      <c r="I53" s="63"/>
      <c r="J53" s="63"/>
      <c r="K53" s="144"/>
      <c r="L53" s="145"/>
      <c r="M53" s="146"/>
      <c r="N53" s="146"/>
      <c r="O53" s="146"/>
      <c r="P53" s="147"/>
      <c r="Q53" s="147"/>
      <c r="R53" s="147"/>
      <c r="S53" s="147"/>
      <c r="T53" s="147"/>
      <c r="U53" s="144"/>
      <c r="V53" s="148"/>
      <c r="W53" s="149"/>
      <c r="X53" s="150"/>
      <c r="Y53" s="151"/>
      <c r="Z53" s="154"/>
      <c r="AA53" s="151"/>
      <c r="AB53" s="149"/>
      <c r="AC53" s="150"/>
      <c r="AD53" s="144"/>
      <c r="AE53" s="148"/>
      <c r="AF53" s="147"/>
      <c r="AG53" s="147"/>
      <c r="AH53" s="147"/>
      <c r="AI53" s="147"/>
      <c r="AJ53" s="147"/>
      <c r="AK53" s="147"/>
      <c r="AL53" s="147"/>
      <c r="AM53" s="29"/>
      <c r="AZ53" s="7"/>
    </row>
    <row r="54" spans="8:52" ht="15">
      <c r="H54" s="57"/>
      <c r="I54" s="29"/>
      <c r="J54" s="29"/>
      <c r="K54" s="58"/>
      <c r="L54" s="29"/>
      <c r="M54" s="29"/>
      <c r="N54" s="29"/>
      <c r="O54" s="29"/>
      <c r="P54" s="60"/>
      <c r="Q54" s="60"/>
      <c r="R54" s="60"/>
      <c r="S54" s="61"/>
      <c r="T54" s="60"/>
      <c r="U54" s="60"/>
      <c r="V54" s="60"/>
      <c r="W54" s="60"/>
      <c r="X54" s="62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Z54" s="7"/>
    </row>
    <row r="55" spans="8:52" ht="15">
      <c r="H55" s="57"/>
      <c r="I55" s="29"/>
      <c r="J55" s="29"/>
      <c r="K55" s="58"/>
      <c r="L55" s="29"/>
      <c r="M55" s="29"/>
      <c r="N55" s="29"/>
      <c r="O55" s="29"/>
      <c r="P55" s="60"/>
      <c r="Q55" s="60"/>
      <c r="R55" s="60"/>
      <c r="S55" s="61"/>
      <c r="T55" s="60"/>
      <c r="U55" s="60"/>
      <c r="V55" s="60"/>
      <c r="W55" s="60"/>
      <c r="X55" s="62"/>
      <c r="Y55" s="29"/>
      <c r="Z55" s="29"/>
      <c r="AA55" s="29"/>
      <c r="AB55" s="29"/>
      <c r="AC55" s="63"/>
      <c r="AD55" s="63"/>
      <c r="AE55" s="63"/>
      <c r="AF55" s="29"/>
      <c r="AG55" s="29"/>
      <c r="AH55" s="29"/>
      <c r="AI55" s="29"/>
      <c r="AJ55" s="29"/>
      <c r="AK55" s="29"/>
      <c r="AL55" s="29"/>
      <c r="AM55" s="29"/>
      <c r="AZ55" s="7"/>
    </row>
    <row r="56" spans="8:52" ht="15">
      <c r="H56" s="57"/>
      <c r="I56" s="29"/>
      <c r="J56" s="29"/>
      <c r="K56" s="58"/>
      <c r="L56" s="29"/>
      <c r="M56" s="29"/>
      <c r="N56" s="29"/>
      <c r="O56" s="29"/>
      <c r="P56" s="60"/>
      <c r="Q56" s="60"/>
      <c r="R56" s="60"/>
      <c r="S56" s="61"/>
      <c r="T56" s="60"/>
      <c r="U56" s="60"/>
      <c r="V56" s="60"/>
      <c r="W56" s="60"/>
      <c r="X56" s="62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Z56" s="7"/>
    </row>
    <row r="57" spans="11:52" ht="15">
      <c r="K57" s="58"/>
      <c r="M57" s="7"/>
      <c r="N57" s="7"/>
      <c r="O57" s="7"/>
      <c r="P57" s="60"/>
      <c r="Q57" s="60"/>
      <c r="R57" s="60"/>
      <c r="S57" s="61"/>
      <c r="T57" s="60"/>
      <c r="U57" s="60"/>
      <c r="V57" s="60"/>
      <c r="W57" s="60"/>
      <c r="X57" s="62"/>
      <c r="AF57" s="7"/>
      <c r="AG57" s="7"/>
      <c r="AH57" s="7"/>
      <c r="AI57" s="7"/>
      <c r="AZ57" s="7"/>
    </row>
    <row r="58" spans="11:52" ht="15">
      <c r="K58" s="58"/>
      <c r="M58" s="7"/>
      <c r="N58" s="7"/>
      <c r="O58" s="7"/>
      <c r="P58" s="60"/>
      <c r="Q58" s="60"/>
      <c r="R58" s="60"/>
      <c r="S58" s="61"/>
      <c r="T58" s="60"/>
      <c r="U58" s="60"/>
      <c r="V58" s="60"/>
      <c r="W58" s="60"/>
      <c r="X58" s="62"/>
      <c r="AF58" s="7"/>
      <c r="AG58" s="7"/>
      <c r="AH58" s="7"/>
      <c r="AI58" s="7"/>
      <c r="AZ58" s="7"/>
    </row>
    <row r="59" spans="2:31" s="9" customFormat="1" ht="15">
      <c r="B59" s="65"/>
      <c r="C59" s="65"/>
      <c r="H59" s="65"/>
      <c r="K59" s="58"/>
      <c r="P59" s="60"/>
      <c r="Q59" s="60"/>
      <c r="R59" s="60"/>
      <c r="S59" s="61"/>
      <c r="T59" s="60"/>
      <c r="U59" s="60"/>
      <c r="V59" s="60"/>
      <c r="W59" s="60"/>
      <c r="X59" s="62"/>
      <c r="AC59" s="7"/>
      <c r="AD59" s="7"/>
      <c r="AE59" s="7"/>
    </row>
    <row r="60" spans="11:52" ht="15">
      <c r="K60" s="58"/>
      <c r="M60" s="7"/>
      <c r="N60" s="7"/>
      <c r="O60" s="7"/>
      <c r="P60" s="60"/>
      <c r="Q60" s="60"/>
      <c r="R60" s="60"/>
      <c r="S60" s="61"/>
      <c r="T60" s="60"/>
      <c r="U60" s="60"/>
      <c r="V60" s="60"/>
      <c r="W60" s="60"/>
      <c r="X60" s="62"/>
      <c r="AF60" s="7"/>
      <c r="AG60" s="7"/>
      <c r="AH60" s="7"/>
      <c r="AI60" s="7"/>
      <c r="AZ60" s="7"/>
    </row>
    <row r="61" spans="13:52" ht="15">
      <c r="M61" s="7"/>
      <c r="N61" s="7"/>
      <c r="O61" s="7"/>
      <c r="AF61" s="7"/>
      <c r="AG61" s="7"/>
      <c r="AH61" s="7"/>
      <c r="AI61" s="7"/>
      <c r="AZ61" s="7"/>
    </row>
    <row r="62" spans="13:52" ht="15">
      <c r="M62" s="7"/>
      <c r="N62" s="7"/>
      <c r="O62" s="7"/>
      <c r="AF62" s="7"/>
      <c r="AG62" s="7"/>
      <c r="AH62" s="7"/>
      <c r="AI62" s="7"/>
      <c r="AZ62" s="7"/>
    </row>
    <row r="63" spans="13:52" ht="15">
      <c r="M63" s="7"/>
      <c r="N63" s="7"/>
      <c r="O63" s="7"/>
      <c r="AF63" s="7"/>
      <c r="AG63" s="7"/>
      <c r="AH63" s="7"/>
      <c r="AI63" s="7"/>
      <c r="AZ63" s="7"/>
    </row>
    <row r="64" spans="13:52" ht="15">
      <c r="M64" s="7"/>
      <c r="N64" s="7"/>
      <c r="O64" s="7"/>
      <c r="AF64" s="7"/>
      <c r="AG64" s="7"/>
      <c r="AH64" s="7"/>
      <c r="AI64" s="7"/>
      <c r="AZ64" s="7"/>
    </row>
    <row r="65" spans="13:52" ht="15">
      <c r="M65" s="7"/>
      <c r="N65" s="7"/>
      <c r="O65" s="7"/>
      <c r="AF65" s="7"/>
      <c r="AG65" s="7"/>
      <c r="AH65" s="7"/>
      <c r="AI65" s="7"/>
      <c r="AZ65" s="7"/>
    </row>
    <row r="66" spans="13:52" ht="15">
      <c r="M66" s="7"/>
      <c r="N66" s="7"/>
      <c r="O66" s="7"/>
      <c r="AF66" s="7"/>
      <c r="AG66" s="7"/>
      <c r="AH66" s="7"/>
      <c r="AI66" s="7"/>
      <c r="AZ66" s="7"/>
    </row>
    <row r="67" spans="13:52" ht="15">
      <c r="M67" s="7"/>
      <c r="N67" s="7"/>
      <c r="O67" s="7"/>
      <c r="AF67" s="7"/>
      <c r="AG67" s="7"/>
      <c r="AH67" s="7"/>
      <c r="AI67" s="7"/>
      <c r="AZ67" s="7"/>
    </row>
    <row r="68" spans="13:52" ht="15">
      <c r="M68" s="7"/>
      <c r="N68" s="7"/>
      <c r="O68" s="7"/>
      <c r="AF68" s="7"/>
      <c r="AG68" s="7"/>
      <c r="AH68" s="7"/>
      <c r="AI68" s="7"/>
      <c r="AZ68" s="7"/>
    </row>
    <row r="69" spans="13:52" ht="15">
      <c r="M69" s="7"/>
      <c r="N69" s="7"/>
      <c r="O69" s="7"/>
      <c r="AF69" s="7"/>
      <c r="AG69" s="7"/>
      <c r="AH69" s="7"/>
      <c r="AI69" s="7"/>
      <c r="AZ69" s="7"/>
    </row>
    <row r="70" spans="13:52" ht="15">
      <c r="M70" s="7"/>
      <c r="N70" s="7"/>
      <c r="O70" s="7"/>
      <c r="AF70" s="7"/>
      <c r="AG70" s="7"/>
      <c r="AH70" s="7"/>
      <c r="AI70" s="7"/>
      <c r="AZ70" s="7"/>
    </row>
    <row r="71" spans="13:52" ht="15">
      <c r="M71" s="7"/>
      <c r="N71" s="7"/>
      <c r="O71" s="7"/>
      <c r="AF71" s="7"/>
      <c r="AG71" s="7"/>
      <c r="AH71" s="7"/>
      <c r="AI71" s="7"/>
      <c r="AZ71" s="7"/>
    </row>
    <row r="72" spans="13:52" ht="15">
      <c r="M72" s="7"/>
      <c r="N72" s="7"/>
      <c r="O72" s="7"/>
      <c r="AF72" s="7"/>
      <c r="AG72" s="7"/>
      <c r="AH72" s="7"/>
      <c r="AI72" s="7"/>
      <c r="AZ72" s="7"/>
    </row>
    <row r="73" spans="13:52" ht="15">
      <c r="M73" s="7"/>
      <c r="N73" s="7"/>
      <c r="O73" s="7"/>
      <c r="AF73" s="7"/>
      <c r="AG73" s="7"/>
      <c r="AH73" s="7"/>
      <c r="AI73" s="7"/>
      <c r="AZ73" s="7"/>
    </row>
    <row r="74" spans="13:52" ht="15">
      <c r="M74" s="7"/>
      <c r="N74" s="7"/>
      <c r="O74" s="7"/>
      <c r="AF74" s="7"/>
      <c r="AG74" s="7"/>
      <c r="AH74" s="7"/>
      <c r="AI74" s="7"/>
      <c r="AZ74" s="7"/>
    </row>
    <row r="75" spans="13:52" ht="15">
      <c r="M75" s="7"/>
      <c r="N75" s="7"/>
      <c r="O75" s="7"/>
      <c r="AF75" s="7"/>
      <c r="AG75" s="7"/>
      <c r="AH75" s="7"/>
      <c r="AI75" s="7"/>
      <c r="AZ75" s="7"/>
    </row>
    <row r="76" spans="13:52" ht="15">
      <c r="M76" s="7"/>
      <c r="N76" s="7"/>
      <c r="O76" s="7"/>
      <c r="AF76" s="7"/>
      <c r="AG76" s="7"/>
      <c r="AH76" s="7"/>
      <c r="AI76" s="7"/>
      <c r="AZ76" s="7"/>
    </row>
    <row r="77" spans="13:52" ht="15">
      <c r="M77" s="7"/>
      <c r="N77" s="7"/>
      <c r="O77" s="7"/>
      <c r="AF77" s="7"/>
      <c r="AG77" s="7"/>
      <c r="AH77" s="7"/>
      <c r="AI77" s="7"/>
      <c r="AZ77" s="7"/>
    </row>
    <row r="78" spans="13:52" ht="15">
      <c r="M78" s="7"/>
      <c r="N78" s="7"/>
      <c r="O78" s="7"/>
      <c r="AF78" s="7"/>
      <c r="AG78" s="7"/>
      <c r="AH78" s="7"/>
      <c r="AI78" s="7"/>
      <c r="AZ78" s="7"/>
    </row>
    <row r="79" spans="13:52" ht="15">
      <c r="M79" s="7"/>
      <c r="N79" s="7"/>
      <c r="O79" s="7"/>
      <c r="AF79" s="7"/>
      <c r="AG79" s="7"/>
      <c r="AH79" s="7"/>
      <c r="AI79" s="7"/>
      <c r="AZ79" s="7"/>
    </row>
  </sheetData>
  <mergeCells count="17">
    <mergeCell ref="A1:H1"/>
    <mergeCell ref="A2:H2"/>
    <mergeCell ref="A3:H3"/>
    <mergeCell ref="G6:H6"/>
    <mergeCell ref="G8:H8"/>
    <mergeCell ref="AU10:AX10"/>
    <mergeCell ref="G21:G29"/>
    <mergeCell ref="W8:AD8"/>
    <mergeCell ref="AF8:AI8"/>
    <mergeCell ref="AK8:AK9"/>
    <mergeCell ref="A9:O9"/>
    <mergeCell ref="P9:T9"/>
    <mergeCell ref="W9:X9"/>
    <mergeCell ref="AB9:AD9"/>
    <mergeCell ref="AF9:AH9"/>
    <mergeCell ref="AI9:AJ9"/>
    <mergeCell ref="P8:U8"/>
  </mergeCells>
  <dataValidations count="2">
    <dataValidation type="list" allowBlank="1" showInputMessage="1" showErrorMessage="1" sqref="G12:G17">
      <formula1>'FY20 Table'!$A$1:$A$12</formula1>
    </dataValidation>
    <dataValidation type="list" allowBlank="1" showInputMessage="1" showErrorMessage="1" sqref="L12:L17">
      <formula1>'FY20 Table'!$D$1:$D$11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D30" sqref="D30"/>
    </sheetView>
  </sheetViews>
  <sheetFormatPr defaultColWidth="8.8515625" defaultRowHeight="15"/>
  <cols>
    <col min="1" max="1" width="24.28125" style="0" bestFit="1" customWidth="1"/>
    <col min="2" max="2" width="24.28125" style="0" customWidth="1"/>
    <col min="3" max="3" width="14.7109375" style="0" bestFit="1" customWidth="1"/>
    <col min="4" max="5" width="14.7109375" style="0" customWidth="1"/>
    <col min="6" max="6" width="20.00390625" style="0" bestFit="1" customWidth="1"/>
    <col min="8" max="8" width="29.00390625" style="0" bestFit="1" customWidth="1"/>
  </cols>
  <sheetData>
    <row r="1" spans="1:8" ht="15.75" thickBot="1">
      <c r="A1" s="84" t="s">
        <v>15</v>
      </c>
      <c r="B1" s="84" t="s">
        <v>18</v>
      </c>
      <c r="C1" s="84" t="s">
        <v>72</v>
      </c>
      <c r="D1" s="107" t="s">
        <v>85</v>
      </c>
      <c r="E1" s="84" t="s">
        <v>86</v>
      </c>
      <c r="F1" s="106" t="s">
        <v>54</v>
      </c>
      <c r="G1" s="34">
        <v>0.2871</v>
      </c>
      <c r="H1" s="35" t="s">
        <v>55</v>
      </c>
    </row>
    <row r="2" spans="1:8" ht="15">
      <c r="A2" s="77" t="s">
        <v>89</v>
      </c>
      <c r="B2" s="79" t="s">
        <v>87</v>
      </c>
      <c r="C2" s="77">
        <v>1</v>
      </c>
      <c r="D2" s="108" t="s">
        <v>48</v>
      </c>
      <c r="E2" s="77">
        <v>0.025</v>
      </c>
      <c r="F2" s="102" t="s">
        <v>54</v>
      </c>
      <c r="G2" s="38">
        <v>0.0668</v>
      </c>
      <c r="H2" s="39" t="s">
        <v>57</v>
      </c>
    </row>
    <row r="3" spans="1:8" ht="15">
      <c r="A3" s="77" t="s">
        <v>91</v>
      </c>
      <c r="B3" s="79" t="s">
        <v>88</v>
      </c>
      <c r="C3" s="77">
        <v>1</v>
      </c>
      <c r="D3" s="108" t="s">
        <v>49</v>
      </c>
      <c r="E3" s="77">
        <v>0.025</v>
      </c>
      <c r="F3" s="102" t="s">
        <v>54</v>
      </c>
      <c r="G3" s="38">
        <v>0.0626</v>
      </c>
      <c r="H3" s="39" t="s">
        <v>59</v>
      </c>
    </row>
    <row r="4" spans="1:8" ht="15">
      <c r="A4" s="77" t="s">
        <v>92</v>
      </c>
      <c r="B4" s="79" t="s">
        <v>90</v>
      </c>
      <c r="C4" s="77">
        <v>1</v>
      </c>
      <c r="D4" s="108" t="s">
        <v>75</v>
      </c>
      <c r="E4" s="77">
        <v>0.025</v>
      </c>
      <c r="F4" s="102" t="s">
        <v>54</v>
      </c>
      <c r="G4" s="38">
        <v>0.002</v>
      </c>
      <c r="H4" s="39" t="s">
        <v>61</v>
      </c>
    </row>
    <row r="5" spans="1:8" ht="15">
      <c r="A5" s="77" t="s">
        <v>45</v>
      </c>
      <c r="B5" s="80">
        <f>(70311*1.02)*1.02</f>
        <v>73151.5644</v>
      </c>
      <c r="C5" s="77">
        <v>2</v>
      </c>
      <c r="D5" s="108" t="s">
        <v>47</v>
      </c>
      <c r="E5" s="77">
        <v>0.025</v>
      </c>
      <c r="F5" s="102" t="s">
        <v>54</v>
      </c>
      <c r="G5" s="38">
        <v>0.0626</v>
      </c>
      <c r="H5" s="39" t="s">
        <v>62</v>
      </c>
    </row>
    <row r="6" spans="1:8" ht="15">
      <c r="A6" s="77" t="s">
        <v>42</v>
      </c>
      <c r="B6" s="80">
        <v>40000</v>
      </c>
      <c r="C6" s="77">
        <v>1</v>
      </c>
      <c r="D6" s="108" t="s">
        <v>78</v>
      </c>
      <c r="E6" s="77">
        <v>0.025</v>
      </c>
      <c r="F6" s="102" t="s">
        <v>54</v>
      </c>
      <c r="G6" s="38">
        <v>0.1624</v>
      </c>
      <c r="H6" s="39" t="s">
        <v>63</v>
      </c>
    </row>
    <row r="7" spans="1:8" ht="15">
      <c r="A7" s="83" t="s">
        <v>46</v>
      </c>
      <c r="B7" s="80">
        <v>40000</v>
      </c>
      <c r="C7" s="77">
        <v>1</v>
      </c>
      <c r="D7" s="108" t="s">
        <v>77</v>
      </c>
      <c r="E7" s="77">
        <v>0.025</v>
      </c>
      <c r="F7" s="102" t="s">
        <v>54</v>
      </c>
      <c r="G7" s="44">
        <v>240.12</v>
      </c>
      <c r="H7" s="45" t="s">
        <v>64</v>
      </c>
    </row>
    <row r="8" spans="1:8" ht="15.75" thickBot="1">
      <c r="A8" s="83" t="s">
        <v>84</v>
      </c>
      <c r="B8" s="80">
        <f>(39550*1.02)*1.02</f>
        <v>41147.82</v>
      </c>
      <c r="C8" s="77">
        <v>1</v>
      </c>
      <c r="D8" s="108" t="s">
        <v>76</v>
      </c>
      <c r="E8" s="77">
        <v>0.025</v>
      </c>
      <c r="F8" s="103" t="s">
        <v>54</v>
      </c>
      <c r="G8" s="47">
        <v>409.94</v>
      </c>
      <c r="H8" s="48" t="s">
        <v>65</v>
      </c>
    </row>
    <row r="9" spans="1:8" ht="15">
      <c r="A9" s="77" t="s">
        <v>71</v>
      </c>
      <c r="B9" s="80">
        <v>32000</v>
      </c>
      <c r="C9" s="77">
        <v>1</v>
      </c>
      <c r="D9" s="108" t="s">
        <v>74</v>
      </c>
      <c r="E9" s="77">
        <v>0.025</v>
      </c>
      <c r="H9" s="104"/>
    </row>
    <row r="10" spans="1:8" ht="15">
      <c r="A10" s="83" t="s">
        <v>73</v>
      </c>
      <c r="B10" s="81">
        <f>(60000*1.02)*1.02</f>
        <v>62424</v>
      </c>
      <c r="C10" s="77">
        <v>1</v>
      </c>
      <c r="D10" s="108" t="s">
        <v>50</v>
      </c>
      <c r="E10" s="77">
        <v>0.025</v>
      </c>
      <c r="H10" s="104"/>
    </row>
    <row r="11" spans="1:8" ht="15.75" thickBot="1">
      <c r="A11" s="77" t="s">
        <v>43</v>
      </c>
      <c r="B11" s="80">
        <f>(43621*1.02)*1.02</f>
        <v>45383.2884</v>
      </c>
      <c r="C11" s="77">
        <v>1</v>
      </c>
      <c r="D11" s="109" t="s">
        <v>51</v>
      </c>
      <c r="E11" s="78">
        <v>0.04</v>
      </c>
      <c r="H11" s="104"/>
    </row>
    <row r="12" spans="1:5" ht="15.75" thickBot="1">
      <c r="A12" s="78" t="s">
        <v>44</v>
      </c>
      <c r="B12" s="82">
        <f>(91800*1.02)*1.02</f>
        <v>95508.72</v>
      </c>
      <c r="C12" s="78">
        <v>1</v>
      </c>
      <c r="D12" s="104"/>
      <c r="E12" s="104"/>
    </row>
    <row r="13" spans="1:5" ht="15">
      <c r="A13" s="104"/>
      <c r="B13" s="105"/>
      <c r="C13" s="104"/>
      <c r="D13" s="104"/>
      <c r="E13" s="104"/>
    </row>
    <row r="14" spans="1:5" ht="15">
      <c r="A14" s="104"/>
      <c r="B14" s="105"/>
      <c r="C14" s="104"/>
      <c r="D14" s="104"/>
      <c r="E14" s="104"/>
    </row>
    <row r="15" spans="1:5" ht="15">
      <c r="A15" s="104"/>
      <c r="B15" s="105"/>
      <c r="C15" s="104"/>
      <c r="D15" s="104"/>
      <c r="E15" s="104"/>
    </row>
    <row r="16" spans="1:5" ht="15">
      <c r="A16" s="104"/>
      <c r="B16" s="105"/>
      <c r="C16" s="104"/>
      <c r="D16" s="104"/>
      <c r="E16" s="104"/>
    </row>
    <row r="17" spans="1:3" ht="15">
      <c r="A17" s="104"/>
      <c r="B17" s="105"/>
      <c r="C17" s="104"/>
    </row>
    <row r="18" spans="1:19" ht="15.75">
      <c r="A18" s="104"/>
      <c r="B18" s="105"/>
      <c r="C18" s="10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  <c r="R18" s="32"/>
      <c r="S18" s="32"/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4:19" ht="15.7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"/>
      <c r="P20" s="1"/>
      <c r="Q20" s="33"/>
      <c r="R20" s="1"/>
      <c r="S20" s="1"/>
    </row>
    <row r="21" spans="1:19" ht="15.75">
      <c r="A21" s="31" t="s">
        <v>53</v>
      </c>
      <c r="B21" s="31"/>
      <c r="C21" s="31"/>
      <c r="D21" s="43"/>
      <c r="E21" s="43"/>
      <c r="F21" s="43"/>
      <c r="G21" s="43"/>
      <c r="H21" s="43"/>
      <c r="I21" s="43"/>
      <c r="J21" s="43"/>
      <c r="K21" s="43"/>
      <c r="L21" s="2"/>
      <c r="M21" s="1"/>
      <c r="N21" s="1"/>
      <c r="O21" s="1"/>
      <c r="P21" s="1"/>
      <c r="Q21" s="33"/>
      <c r="R21" s="1"/>
      <c r="S21" s="1"/>
    </row>
    <row r="22" spans="1:3" ht="15">
      <c r="A22" s="31" t="s">
        <v>56</v>
      </c>
      <c r="B22" s="31"/>
      <c r="C22" s="31"/>
    </row>
    <row r="23" spans="1:3" ht="15">
      <c r="A23" s="31" t="s">
        <v>58</v>
      </c>
      <c r="B23" s="31"/>
      <c r="C23" s="31"/>
    </row>
    <row r="24" spans="1:3" ht="15">
      <c r="A24" s="42" t="s">
        <v>60</v>
      </c>
      <c r="B24" s="43"/>
      <c r="C24" s="43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9"/>
  <sheetViews>
    <sheetView workbookViewId="0" topLeftCell="A1">
      <pane xSplit="7" ySplit="11" topLeftCell="H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8.8515625" defaultRowHeight="15"/>
  <cols>
    <col min="1" max="1" width="9.140625" style="7" customWidth="1"/>
    <col min="2" max="2" width="7.421875" style="49" bestFit="1" customWidth="1"/>
    <col min="3" max="3" width="9.140625" style="49" customWidth="1"/>
    <col min="4" max="4" width="34.7109375" style="7" customWidth="1"/>
    <col min="5" max="5" width="8.8515625" style="7" customWidth="1"/>
    <col min="6" max="6" width="9.140625" style="7" customWidth="1"/>
    <col min="7" max="7" width="34.28125" style="7" bestFit="1" customWidth="1"/>
    <col min="8" max="8" width="9.140625" style="49" customWidth="1"/>
    <col min="9" max="9" width="11.28125" style="7" customWidth="1"/>
    <col min="10" max="10" width="11.8515625" style="7" customWidth="1"/>
    <col min="11" max="11" width="12.421875" style="7" bestFit="1" customWidth="1"/>
    <col min="12" max="12" width="12.421875" style="7" customWidth="1"/>
    <col min="13" max="13" width="12.421875" style="6" customWidth="1"/>
    <col min="14" max="14" width="10.28125" style="6" customWidth="1"/>
    <col min="15" max="15" width="11.421875" style="6" bestFit="1" customWidth="1"/>
    <col min="16" max="17" width="11.421875" style="7" bestFit="1" customWidth="1"/>
    <col min="18" max="18" width="15.00390625" style="7" customWidth="1"/>
    <col min="19" max="19" width="12.421875" style="36" bestFit="1" customWidth="1"/>
    <col min="20" max="20" width="14.8515625" style="7" bestFit="1" customWidth="1"/>
    <col min="21" max="21" width="15.00390625" style="7" customWidth="1"/>
    <col min="22" max="22" width="4.421875" style="7" customWidth="1"/>
    <col min="23" max="23" width="11.421875" style="7" bestFit="1" customWidth="1"/>
    <col min="24" max="24" width="11.28125" style="50" bestFit="1" customWidth="1"/>
    <col min="25" max="25" width="15.00390625" style="7" bestFit="1" customWidth="1"/>
    <col min="26" max="27" width="11.421875" style="7" bestFit="1" customWidth="1"/>
    <col min="28" max="28" width="10.421875" style="7" bestFit="1" customWidth="1"/>
    <col min="29" max="29" width="8.8515625" style="7" bestFit="1" customWidth="1"/>
    <col min="30" max="30" width="11.421875" style="7" bestFit="1" customWidth="1"/>
    <col min="31" max="31" width="4.421875" style="7" customWidth="1"/>
    <col min="32" max="32" width="11.421875" style="66" bestFit="1" customWidth="1"/>
    <col min="33" max="33" width="10.421875" style="36" bestFit="1" customWidth="1"/>
    <col min="34" max="34" width="11.421875" style="66" bestFit="1" customWidth="1"/>
    <col min="35" max="35" width="11.8515625" style="66" customWidth="1"/>
    <col min="36" max="36" width="15.28125" style="7" bestFit="1" customWidth="1"/>
    <col min="37" max="37" width="11.8515625" style="7" customWidth="1"/>
    <col min="38" max="38" width="16.421875" style="7" bestFit="1" customWidth="1"/>
    <col min="39" max="47" width="11.8515625" style="7" customWidth="1"/>
    <col min="48" max="48" width="8.8515625" style="7" customWidth="1"/>
    <col min="49" max="51" width="9.140625" style="7" customWidth="1"/>
    <col min="52" max="52" width="9.140625" style="37" customWidth="1"/>
    <col min="53" max="16384" width="8.8515625" style="7" customWidth="1"/>
  </cols>
  <sheetData>
    <row r="1" spans="1:51" ht="15.75">
      <c r="A1" s="217" t="s">
        <v>52</v>
      </c>
      <c r="B1" s="217"/>
      <c r="C1" s="217"/>
      <c r="D1" s="217"/>
      <c r="E1" s="217"/>
      <c r="F1" s="217"/>
      <c r="G1" s="217"/>
      <c r="H1" s="217"/>
      <c r="AA1" s="1"/>
      <c r="AB1" s="1"/>
      <c r="AF1" s="3"/>
      <c r="AG1" s="2"/>
      <c r="AH1" s="3"/>
      <c r="AI1" s="3"/>
      <c r="AK1" s="1"/>
      <c r="AL1" s="1"/>
      <c r="AM1" s="1"/>
      <c r="AN1" s="1"/>
      <c r="AO1" s="1"/>
      <c r="AP1" s="1"/>
      <c r="AQ1" s="1"/>
      <c r="AR1" s="1"/>
      <c r="AS1" s="4"/>
      <c r="AT1" s="4"/>
      <c r="AU1" s="4"/>
      <c r="AW1" s="36"/>
      <c r="AX1" s="36"/>
      <c r="AY1" s="36"/>
    </row>
    <row r="2" spans="1:51" ht="15.75">
      <c r="A2" s="224" t="s">
        <v>99</v>
      </c>
      <c r="B2" s="224"/>
      <c r="C2" s="224"/>
      <c r="D2" s="224"/>
      <c r="E2" s="224"/>
      <c r="F2" s="224"/>
      <c r="G2" s="224"/>
      <c r="H2" s="224"/>
      <c r="AA2" s="1"/>
      <c r="AB2" s="1"/>
      <c r="AF2" s="3"/>
      <c r="AG2" s="2"/>
      <c r="AH2" s="3"/>
      <c r="AI2" s="3"/>
      <c r="AK2" s="1"/>
      <c r="AL2" s="1"/>
      <c r="AM2" s="1"/>
      <c r="AN2" s="1"/>
      <c r="AO2" s="1"/>
      <c r="AP2" s="1"/>
      <c r="AQ2" s="1"/>
      <c r="AR2" s="1"/>
      <c r="AS2" s="4"/>
      <c r="AT2" s="4"/>
      <c r="AU2" s="4"/>
      <c r="AW2" s="36"/>
      <c r="AX2" s="36"/>
      <c r="AY2" s="36"/>
    </row>
    <row r="3" spans="1:51" ht="18.75">
      <c r="A3" s="225"/>
      <c r="B3" s="225"/>
      <c r="C3" s="225"/>
      <c r="D3" s="225"/>
      <c r="E3" s="225"/>
      <c r="F3" s="225"/>
      <c r="G3" s="225"/>
      <c r="H3" s="225"/>
      <c r="AA3" s="1"/>
      <c r="AB3" s="1"/>
      <c r="AF3" s="3"/>
      <c r="AG3" s="2"/>
      <c r="AH3" s="3"/>
      <c r="AI3" s="3"/>
      <c r="AK3" s="1"/>
      <c r="AL3" s="1"/>
      <c r="AM3" s="1"/>
      <c r="AN3" s="1"/>
      <c r="AO3" s="1"/>
      <c r="AP3" s="1"/>
      <c r="AQ3" s="1"/>
      <c r="AR3" s="1"/>
      <c r="AS3" s="40"/>
      <c r="AT3" s="40"/>
      <c r="AU3" s="40"/>
      <c r="AW3" s="36"/>
      <c r="AX3" s="36"/>
      <c r="AY3" s="36"/>
    </row>
    <row r="4" spans="1:51" ht="15.75">
      <c r="A4" s="142"/>
      <c r="B4" s="142"/>
      <c r="C4" s="142"/>
      <c r="D4" s="142"/>
      <c r="E4" s="142"/>
      <c r="F4" s="142"/>
      <c r="G4" s="142"/>
      <c r="H4" s="142"/>
      <c r="AA4" s="1"/>
      <c r="AB4" s="1"/>
      <c r="AF4" s="3"/>
      <c r="AG4" s="2"/>
      <c r="AH4" s="3"/>
      <c r="AI4" s="3"/>
      <c r="AK4" s="1"/>
      <c r="AL4" s="1"/>
      <c r="AM4" s="1"/>
      <c r="AN4" s="1"/>
      <c r="AO4" s="1"/>
      <c r="AP4" s="1"/>
      <c r="AQ4" s="1"/>
      <c r="AR4" s="1"/>
      <c r="AS4" s="40"/>
      <c r="AT4" s="40"/>
      <c r="AU4" s="40"/>
      <c r="AW4" s="36"/>
      <c r="AX4" s="36"/>
      <c r="AY4" s="36"/>
    </row>
    <row r="5" spans="1:51" ht="16.5" thickBot="1">
      <c r="A5" s="30"/>
      <c r="B5" s="46"/>
      <c r="C5" s="46"/>
      <c r="D5" s="1"/>
      <c r="E5" s="1"/>
      <c r="F5" s="1"/>
      <c r="G5" s="1"/>
      <c r="H5" s="46"/>
      <c r="I5" s="1"/>
      <c r="J5" s="4"/>
      <c r="K5" s="4"/>
      <c r="L5" s="4"/>
      <c r="M5" s="10"/>
      <c r="N5" s="10"/>
      <c r="O5" s="10"/>
      <c r="P5" s="4"/>
      <c r="Q5" s="1"/>
      <c r="R5" s="1"/>
      <c r="S5" s="2"/>
      <c r="T5" s="1"/>
      <c r="U5" s="1"/>
      <c r="V5" s="1"/>
      <c r="W5" s="1"/>
      <c r="X5" s="33"/>
      <c r="Y5" s="1"/>
      <c r="Z5" s="1"/>
      <c r="AA5" s="1"/>
      <c r="AF5" s="7"/>
      <c r="AG5" s="7"/>
      <c r="AH5" s="7"/>
      <c r="AI5" s="7"/>
      <c r="AW5" s="36"/>
      <c r="AX5" s="36"/>
      <c r="AY5" s="36"/>
    </row>
    <row r="6" spans="7:52" ht="15.75" customHeight="1" thickBot="1">
      <c r="G6" s="218" t="s">
        <v>80</v>
      </c>
      <c r="H6" s="219"/>
      <c r="I6" s="86" t="s">
        <v>98</v>
      </c>
      <c r="J6" s="92" t="s">
        <v>100</v>
      </c>
      <c r="K6" s="4"/>
      <c r="L6" s="10"/>
      <c r="M6" s="10"/>
      <c r="N6" s="10"/>
      <c r="O6" s="4"/>
      <c r="P6" s="1"/>
      <c r="Q6" s="1"/>
      <c r="R6" s="2"/>
      <c r="S6" s="1"/>
      <c r="T6" s="1"/>
      <c r="U6" s="1"/>
      <c r="V6" s="1"/>
      <c r="W6" s="33"/>
      <c r="X6" s="1"/>
      <c r="Y6" s="1"/>
      <c r="Z6" s="1"/>
      <c r="AB6"/>
      <c r="AC6"/>
      <c r="AD6"/>
      <c r="AF6" s="7"/>
      <c r="AG6" s="7"/>
      <c r="AH6" s="7"/>
      <c r="AI6" s="7"/>
      <c r="AV6" s="36"/>
      <c r="AW6" s="36"/>
      <c r="AX6" s="36"/>
      <c r="AY6" s="37"/>
      <c r="AZ6" s="7"/>
    </row>
    <row r="7" spans="9:51" ht="16.5" thickBot="1">
      <c r="I7" s="1"/>
      <c r="J7" s="4"/>
      <c r="K7"/>
      <c r="L7" s="4"/>
      <c r="M7" s="10"/>
      <c r="N7" s="10"/>
      <c r="O7" s="10"/>
      <c r="P7" s="4"/>
      <c r="Q7" s="1"/>
      <c r="R7" s="1"/>
      <c r="S7" s="2"/>
      <c r="T7" s="1"/>
      <c r="U7" s="1"/>
      <c r="V7" s="1"/>
      <c r="W7" s="1"/>
      <c r="X7" s="33"/>
      <c r="Y7" s="1"/>
      <c r="Z7" s="1"/>
      <c r="AA7" s="1"/>
      <c r="AC7"/>
      <c r="AD7"/>
      <c r="AE7"/>
      <c r="AF7" s="7"/>
      <c r="AG7" s="7"/>
      <c r="AH7" s="7"/>
      <c r="AI7" s="7"/>
      <c r="AW7" s="36"/>
      <c r="AX7" s="36"/>
      <c r="AY7" s="36"/>
    </row>
    <row r="8" spans="7:51" ht="15" customHeight="1" thickBot="1">
      <c r="G8" s="235" t="s">
        <v>79</v>
      </c>
      <c r="H8" s="236"/>
      <c r="I8" s="85">
        <v>30</v>
      </c>
      <c r="J8" s="92" t="s">
        <v>81</v>
      </c>
      <c r="K8"/>
      <c r="P8" s="231"/>
      <c r="Q8" s="231"/>
      <c r="R8" s="231"/>
      <c r="S8" s="231"/>
      <c r="T8" s="231"/>
      <c r="U8" s="231"/>
      <c r="V8"/>
      <c r="W8" s="230"/>
      <c r="X8" s="230"/>
      <c r="Y8" s="230"/>
      <c r="Z8" s="230"/>
      <c r="AA8" s="230"/>
      <c r="AB8" s="230"/>
      <c r="AC8" s="230"/>
      <c r="AD8" s="230"/>
      <c r="AE8"/>
      <c r="AF8" s="241" t="s">
        <v>2</v>
      </c>
      <c r="AG8" s="241"/>
      <c r="AH8" s="241"/>
      <c r="AI8" s="241"/>
      <c r="AJ8" s="13" t="s">
        <v>3</v>
      </c>
      <c r="AK8" s="220"/>
      <c r="AL8" s="14" t="s">
        <v>4</v>
      </c>
      <c r="AW8" s="36"/>
      <c r="AX8" s="36"/>
      <c r="AY8" s="36"/>
    </row>
    <row r="9" spans="1:52" s="68" customFormat="1" ht="33" customHeight="1" thickBo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232" t="s">
        <v>5</v>
      </c>
      <c r="Q9" s="233"/>
      <c r="R9" s="233"/>
      <c r="S9" s="233"/>
      <c r="T9" s="234"/>
      <c r="U9" s="69"/>
      <c r="V9" s="110"/>
      <c r="W9" s="226"/>
      <c r="X9" s="227"/>
      <c r="Y9" s="126">
        <v>0.2</v>
      </c>
      <c r="Z9" s="130">
        <v>0.5</v>
      </c>
      <c r="AA9" s="128">
        <v>0.3</v>
      </c>
      <c r="AB9" s="222"/>
      <c r="AC9" s="223"/>
      <c r="AD9" s="223"/>
      <c r="AE9" s="110"/>
      <c r="AF9" s="242" t="s">
        <v>6</v>
      </c>
      <c r="AG9" s="243"/>
      <c r="AH9" s="244"/>
      <c r="AI9" s="242" t="s">
        <v>7</v>
      </c>
      <c r="AJ9" s="244"/>
      <c r="AK9" s="221"/>
      <c r="AL9" s="70" t="s">
        <v>8</v>
      </c>
      <c r="AW9" s="71"/>
      <c r="AX9" s="71"/>
      <c r="AY9" s="71"/>
      <c r="AZ9" s="72"/>
    </row>
    <row r="10" spans="1:50" s="6" customFormat="1" ht="50.1" customHeight="1" thickBo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74" t="s">
        <v>14</v>
      </c>
      <c r="G10" s="91" t="s">
        <v>96</v>
      </c>
      <c r="H10" s="89" t="s">
        <v>16</v>
      </c>
      <c r="I10" s="16" t="s">
        <v>1</v>
      </c>
      <c r="J10" s="16" t="s">
        <v>66</v>
      </c>
      <c r="K10" s="74" t="s">
        <v>67</v>
      </c>
      <c r="L10" s="138" t="s">
        <v>68</v>
      </c>
      <c r="M10" s="137" t="s">
        <v>17</v>
      </c>
      <c r="N10" s="51" t="s">
        <v>69</v>
      </c>
      <c r="O10" s="51" t="s">
        <v>70</v>
      </c>
      <c r="P10" s="73" t="s">
        <v>18</v>
      </c>
      <c r="Q10" s="73" t="s">
        <v>19</v>
      </c>
      <c r="R10" s="73" t="s">
        <v>20</v>
      </c>
      <c r="S10" s="18" t="s">
        <v>21</v>
      </c>
      <c r="T10" s="18" t="s">
        <v>22</v>
      </c>
      <c r="U10" s="19" t="s">
        <v>23</v>
      </c>
      <c r="V10" s="110"/>
      <c r="W10" s="20" t="s">
        <v>24</v>
      </c>
      <c r="X10" s="21" t="s">
        <v>25</v>
      </c>
      <c r="Y10" s="127" t="s">
        <v>26</v>
      </c>
      <c r="Z10" s="131" t="s">
        <v>27</v>
      </c>
      <c r="AA10" s="129" t="s">
        <v>4</v>
      </c>
      <c r="AB10" s="20" t="s">
        <v>28</v>
      </c>
      <c r="AC10" s="22" t="s">
        <v>29</v>
      </c>
      <c r="AD10" s="23" t="s">
        <v>30</v>
      </c>
      <c r="AE10" s="110"/>
      <c r="AF10" s="17" t="s">
        <v>18</v>
      </c>
      <c r="AG10" s="17" t="s">
        <v>19</v>
      </c>
      <c r="AH10" s="17" t="s">
        <v>20</v>
      </c>
      <c r="AI10" s="17" t="s">
        <v>21</v>
      </c>
      <c r="AJ10" s="17" t="s">
        <v>31</v>
      </c>
      <c r="AK10" s="17" t="s">
        <v>22</v>
      </c>
      <c r="AL10" s="17" t="s">
        <v>32</v>
      </c>
      <c r="AU10" s="240"/>
      <c r="AV10" s="240"/>
      <c r="AW10" s="240"/>
      <c r="AX10" s="240"/>
    </row>
    <row r="11" spans="1:50" s="9" customFormat="1" ht="15" customHeight="1" thickBot="1">
      <c r="A11" s="52"/>
      <c r="B11" s="67"/>
      <c r="C11" s="53"/>
      <c r="D11" s="52"/>
      <c r="E11" s="52"/>
      <c r="F11" s="87"/>
      <c r="G11" s="90"/>
      <c r="H11" s="88"/>
      <c r="I11" s="52">
        <f>SUM(I12:I17)</f>
        <v>180</v>
      </c>
      <c r="J11" s="52">
        <f>SUM(J12:J13)</f>
        <v>0</v>
      </c>
      <c r="K11" s="94">
        <f>SUM(K12:K17)</f>
        <v>129664.8</v>
      </c>
      <c r="L11" s="55"/>
      <c r="M11" s="54"/>
      <c r="N11" s="54"/>
      <c r="O11" s="54"/>
      <c r="P11" s="93">
        <f aca="true" t="shared" si="0" ref="P11:U11">SUM(P12:P17)</f>
        <v>44945.28</v>
      </c>
      <c r="Q11" s="93">
        <f t="shared" si="0"/>
        <v>12903.789888000001</v>
      </c>
      <c r="R11" s="93">
        <f t="shared" si="0"/>
        <v>57849.069888</v>
      </c>
      <c r="S11" s="93">
        <f t="shared" si="0"/>
        <v>0</v>
      </c>
      <c r="T11" s="93">
        <f t="shared" si="0"/>
        <v>57849.069888</v>
      </c>
      <c r="U11" s="94">
        <f t="shared" si="0"/>
        <v>71815.730112</v>
      </c>
      <c r="V11"/>
      <c r="W11" s="24">
        <f>SUM(W12:W17)</f>
        <v>180</v>
      </c>
      <c r="X11" s="25">
        <f>W11/I11</f>
        <v>1</v>
      </c>
      <c r="Y11" s="97">
        <f>SUM(Y12:Y17)</f>
        <v>14363.146022400002</v>
      </c>
      <c r="Z11" s="132">
        <f>SUM(Z12:Z17)</f>
        <v>35907.865056</v>
      </c>
      <c r="AA11" s="97">
        <f>SUM(AA12:AA17)</f>
        <v>21544.7190336</v>
      </c>
      <c r="AB11" s="24">
        <f>SUM(AB12:AB17)</f>
        <v>0</v>
      </c>
      <c r="AC11" s="25">
        <f>AB11/I11</f>
        <v>0</v>
      </c>
      <c r="AD11" s="94">
        <f>SUM(AD12:AD17)</f>
        <v>0</v>
      </c>
      <c r="AE11"/>
      <c r="AF11" s="93">
        <f>SUM(AF12:AF17)</f>
        <v>44945.28</v>
      </c>
      <c r="AG11" s="93">
        <f>SUM(AG12:AG17)</f>
        <v>12903.789888000001</v>
      </c>
      <c r="AH11" s="93">
        <f>SUM(AH12:AH17)</f>
        <v>57849.069888</v>
      </c>
      <c r="AI11" s="93">
        <f aca="true" t="shared" si="1" ref="AI11:AJ11">SUM(AI12:AI17)</f>
        <v>0</v>
      </c>
      <c r="AJ11" s="93">
        <f t="shared" si="1"/>
        <v>0</v>
      </c>
      <c r="AK11" s="93">
        <f>SUM(AK12:AK17)</f>
        <v>57849.069888</v>
      </c>
      <c r="AL11" s="93">
        <f>SUM(AL12:AL17)</f>
        <v>0</v>
      </c>
      <c r="AM11" s="7"/>
      <c r="AN11" s="7"/>
      <c r="AO11" s="7"/>
      <c r="AP11" s="7"/>
      <c r="AQ11" s="7"/>
      <c r="AR11" s="7"/>
      <c r="AS11" s="7"/>
      <c r="AX11" s="11"/>
    </row>
    <row r="12" spans="1:38" s="29" customFormat="1" ht="15">
      <c r="A12" s="26" t="s">
        <v>33</v>
      </c>
      <c r="B12" s="143">
        <v>1023</v>
      </c>
      <c r="C12" s="7" t="s">
        <v>34</v>
      </c>
      <c r="D12" s="29" t="s">
        <v>38</v>
      </c>
      <c r="E12" s="7" t="s">
        <v>0</v>
      </c>
      <c r="F12" t="s">
        <v>36</v>
      </c>
      <c r="G12" s="75" t="s">
        <v>73</v>
      </c>
      <c r="H12" s="5">
        <v>3</v>
      </c>
      <c r="I12" s="29">
        <f aca="true" t="shared" si="2" ref="I12:I17">$I$8</f>
        <v>30</v>
      </c>
      <c r="K12" s="100">
        <f>IF(E12="UGRD",H12*I12*'3-3 Load Table'!$G$7,IF(E12="GRAD",H12*I12*'3-3 Load Table'!$G$8))</f>
        <v>21610.8</v>
      </c>
      <c r="L12" s="139" t="s">
        <v>47</v>
      </c>
      <c r="N12" s="29">
        <f>VLOOKUP(G12,'3-3 Load Table'!$A$1:C20,3,FALSE)</f>
        <v>1</v>
      </c>
      <c r="O12" s="101">
        <f>VLOOKUP(G12,'3-3 Load Table'!$A$1:B20,2,FALSE)</f>
        <v>62424</v>
      </c>
      <c r="P12" s="95">
        <f>IF(O12="A1","$4,000.00",(IF(O12="A2","$5,000.00",(IF(O12="A3","$5,000.00",(IF(L12="TTIN",H12*O12*0.025,IF(L12="TTIR",H12*O12*0.025,(IF(L12="O",H12*O12*0.025,(IF(L12="CIN",H12*O12*0.025,(IF(L12="CIR",H12*O12*0.025,(IF(L12="IR",H12*O12*0.025,(IF(L12="IN",H12*O12*0.025,(IF(L12="GA",H12*O12*0.025,(IF(L12="CISP",H12*O12*0.04))))))))))))))))))))))</f>
        <v>7490.88</v>
      </c>
      <c r="Q12" s="95">
        <f>IF(N12=1,P12*'3-3 Load Table'!$G$1,IF(N12=2,P12*'3-3 Load Table'!$G$6,IF(N12=3,P12*'3-3 Load Table'!$G$2,IF(N12=4,P12*'3-3 Load Table'!$G$4,IF(N12=5,P12*'3-3 Load Table'!$G$3,)))))</f>
        <v>2150.631648</v>
      </c>
      <c r="R12" s="95">
        <f aca="true" t="shared" si="3" ref="R12:R17">P12+Q12</f>
        <v>9641.511648</v>
      </c>
      <c r="S12" s="95"/>
      <c r="T12" s="95">
        <f aca="true" t="shared" si="4" ref="T12:T17">R12+S12</f>
        <v>9641.511648</v>
      </c>
      <c r="U12" s="96">
        <f aca="true" t="shared" si="5" ref="U12:U17">K12-T12</f>
        <v>11969.288352</v>
      </c>
      <c r="V12"/>
      <c r="W12" s="15">
        <f aca="true" t="shared" si="6" ref="W12:W17">IF($I$6="O",I12,(IF($I$6="B",I12/2,)))</f>
        <v>30</v>
      </c>
      <c r="X12" s="27">
        <f>W12/I12</f>
        <v>1</v>
      </c>
      <c r="Y12" s="98">
        <f aca="true" t="shared" si="7" ref="Y12:Y17">(X12*U12)*$Y$9</f>
        <v>2393.8576704</v>
      </c>
      <c r="Z12" s="133">
        <f aca="true" t="shared" si="8" ref="Z12:Z17">(X12*U12)*$Z$9</f>
        <v>5984.644176</v>
      </c>
      <c r="AA12" s="98">
        <f aca="true" t="shared" si="9" ref="AA12:AA17">(X12*U12)*$AA$9</f>
        <v>3590.7865055999996</v>
      </c>
      <c r="AB12" s="12">
        <f>I12-W12</f>
        <v>0</v>
      </c>
      <c r="AC12" s="27">
        <f>AB12/I12</f>
        <v>0</v>
      </c>
      <c r="AD12" s="96">
        <f aca="true" t="shared" si="10" ref="AD12">U12*AC12</f>
        <v>0</v>
      </c>
      <c r="AE12"/>
      <c r="AF12" s="99">
        <f aca="true" t="shared" si="11" ref="AF12:AF17">IF(L12="TTIN","0.00",(IF(L12="CIN","0.00",(IF(L12="IN","0.00",P12)))))</f>
        <v>7490.88</v>
      </c>
      <c r="AG12" s="99">
        <f aca="true" t="shared" si="12" ref="AG12:AG17">IF(L12="TTIN","0.00",(IF(L12="CIN","0.00",(IF(L12="IN","0.00",Q12)))))</f>
        <v>2150.631648</v>
      </c>
      <c r="AH12" s="99">
        <f aca="true" t="shared" si="13" ref="AH12:AH17">IF(L12="TTIN","0.00",(IF(L12="CIN","0.00",(IF(L12="IN","0.00",R12)))))</f>
        <v>9641.511648</v>
      </c>
      <c r="AI12" s="95"/>
      <c r="AJ12" s="95"/>
      <c r="AK12" s="95">
        <f aca="true" t="shared" si="14" ref="AK12:AK17">AH12+AI12+AJ12</f>
        <v>9641.511648</v>
      </c>
      <c r="AL12" s="95">
        <f aca="true" t="shared" si="15" ref="AL12">T12-AK12</f>
        <v>0</v>
      </c>
    </row>
    <row r="13" spans="1:38" s="29" customFormat="1" ht="15">
      <c r="A13" s="26" t="s">
        <v>33</v>
      </c>
      <c r="B13" s="143">
        <v>1033</v>
      </c>
      <c r="C13" s="7" t="s">
        <v>34</v>
      </c>
      <c r="D13" s="29" t="s">
        <v>37</v>
      </c>
      <c r="E13" s="7" t="s">
        <v>0</v>
      </c>
      <c r="F13" t="s">
        <v>36</v>
      </c>
      <c r="G13" s="75" t="s">
        <v>73</v>
      </c>
      <c r="H13" s="5">
        <v>3</v>
      </c>
      <c r="I13" s="29">
        <f t="shared" si="2"/>
        <v>30</v>
      </c>
      <c r="K13" s="100">
        <f>IF(E13="UGRD",H13*I13*'3-3 Load Table'!$G$7,IF(E13="GRAD",H13*I13*'3-3 Load Table'!$G$8))</f>
        <v>21610.8</v>
      </c>
      <c r="L13" s="140" t="s">
        <v>47</v>
      </c>
      <c r="N13" s="29">
        <f>VLOOKUP(G13,'3-3 Load Table'!$A$1:C20,3,FALSE)</f>
        <v>1</v>
      </c>
      <c r="O13" s="101">
        <f>VLOOKUP(G13,'3-3 Load Table'!$A$1:B20,2,FALSE)</f>
        <v>62424</v>
      </c>
      <c r="P13" s="95">
        <f>IF(O13="A1","$4,000.00",(IF(O13="A2","$5,000.00",(IF(O13="A3","$5,000.00",(IF(L13="TTIN",H13*O13*0.025,IF(L13="TTIR",H13*O13*0.025,(IF(L13="O",H13*O13*0.025,(IF(L13="CIN",H13*O13*0.025,(IF(L13="CIR",H13*O13*0.025,(IF(L13="IR",H13*O13*0.025,(IF(L13="IN",H13*O13*0.025,(IF(L13="GA",H13*O13*0.025,(IF(L13="CISP",H13*O13*0.04))))))))))))))))))))))</f>
        <v>7490.88</v>
      </c>
      <c r="Q13" s="95">
        <f>IF(N13=1,P13*'3-3 Load Table'!$G$1,IF(N13=2,P13*'3-3 Load Table'!$G$6,IF(N13=3,P13*'3-3 Load Table'!$G$2,IF(N13=4,P13*'3-3 Load Table'!$G$4,IF(N13=5,P13*'3-3 Load Table'!$G$3,)))))</f>
        <v>2150.631648</v>
      </c>
      <c r="R13" s="95">
        <f t="shared" si="3"/>
        <v>9641.511648</v>
      </c>
      <c r="S13" s="95"/>
      <c r="T13" s="95">
        <f t="shared" si="4"/>
        <v>9641.511648</v>
      </c>
      <c r="U13" s="96">
        <f t="shared" si="5"/>
        <v>11969.288352</v>
      </c>
      <c r="V13"/>
      <c r="W13" s="15">
        <f t="shared" si="6"/>
        <v>30</v>
      </c>
      <c r="X13" s="27">
        <f aca="true" t="shared" si="16" ref="X13:X17">W13/I13</f>
        <v>1</v>
      </c>
      <c r="Y13" s="98">
        <f t="shared" si="7"/>
        <v>2393.8576704</v>
      </c>
      <c r="Z13" s="133">
        <f t="shared" si="8"/>
        <v>5984.644176</v>
      </c>
      <c r="AA13" s="98">
        <f t="shared" si="9"/>
        <v>3590.7865055999996</v>
      </c>
      <c r="AB13" s="12">
        <f aca="true" t="shared" si="17" ref="AB13:AB17">I13-W13</f>
        <v>0</v>
      </c>
      <c r="AC13" s="27">
        <f aca="true" t="shared" si="18" ref="AC13:AC17">AB13/I13</f>
        <v>0</v>
      </c>
      <c r="AD13" s="96">
        <f>U13*AC13</f>
        <v>0</v>
      </c>
      <c r="AE13"/>
      <c r="AF13" s="99">
        <f t="shared" si="11"/>
        <v>7490.88</v>
      </c>
      <c r="AG13" s="99">
        <f t="shared" si="12"/>
        <v>2150.631648</v>
      </c>
      <c r="AH13" s="99">
        <f t="shared" si="13"/>
        <v>9641.511648</v>
      </c>
      <c r="AI13" s="95"/>
      <c r="AJ13" s="95"/>
      <c r="AK13" s="95">
        <f t="shared" si="14"/>
        <v>9641.511648</v>
      </c>
      <c r="AL13" s="95">
        <f>T13-AK13</f>
        <v>0</v>
      </c>
    </row>
    <row r="14" spans="1:38" s="29" customFormat="1" ht="15">
      <c r="A14" s="26" t="s">
        <v>33</v>
      </c>
      <c r="B14" s="143">
        <v>2003</v>
      </c>
      <c r="C14" s="7" t="s">
        <v>34</v>
      </c>
      <c r="D14" s="29" t="s">
        <v>39</v>
      </c>
      <c r="E14" s="7" t="s">
        <v>0</v>
      </c>
      <c r="F14" t="s">
        <v>36</v>
      </c>
      <c r="G14" s="75" t="s">
        <v>73</v>
      </c>
      <c r="H14" s="5">
        <v>3</v>
      </c>
      <c r="I14" s="29">
        <f t="shared" si="2"/>
        <v>30</v>
      </c>
      <c r="K14" s="100">
        <f>IF(E14="UGRD",H14*I14*'3-3 Load Table'!$G$7,IF(E14="GRAD",H14*I14*'3-3 Load Table'!$G$8))</f>
        <v>21610.8</v>
      </c>
      <c r="L14" s="140" t="s">
        <v>47</v>
      </c>
      <c r="N14" s="29">
        <f>VLOOKUP(G14,'3-3 Load Table'!$A$1:C20,3,FALSE)</f>
        <v>1</v>
      </c>
      <c r="O14" s="101">
        <f>VLOOKUP(G14,'3-3 Load Table'!$A$1:B20,2,FALSE)</f>
        <v>62424</v>
      </c>
      <c r="P14" s="95">
        <f aca="true" t="shared" si="19" ref="P14:P17">IF(O14="A1","$4,000.00",(IF(O14="A2","$5,000.00",(IF(O14="A3","$5,000.00",(IF(L14="TTIN",H14*O14*0.025,IF(L14="TTIR",H14*O14*0.025,(IF(L14="O",H14*O14*0.025,(IF(L14="CIN",H14*O14*0.025,(IF(L14="CIR",H14*O14*0.025,(IF(L14="IR",H14*O14*0.025,(IF(L14="IN",H14*O14*0.025,(IF(L14="GA",H14*O14*0.025,(IF(L14="CISP",H14*O14*0.04))))))))))))))))))))))</f>
        <v>7490.88</v>
      </c>
      <c r="Q14" s="95">
        <f>IF(N14=1,P14*'3-3 Load Table'!$G$1,IF(N14=2,P14*'3-3 Load Table'!$G$6,IF(N14=3,P14*'3-3 Load Table'!$G$2,IF(N14=4,P14*'3-3 Load Table'!$G$4,IF(N14=5,P14*'3-3 Load Table'!$G$3,)))))</f>
        <v>2150.631648</v>
      </c>
      <c r="R14" s="95">
        <f t="shared" si="3"/>
        <v>9641.511648</v>
      </c>
      <c r="S14" s="95"/>
      <c r="T14" s="95">
        <f t="shared" si="4"/>
        <v>9641.511648</v>
      </c>
      <c r="U14" s="96">
        <f t="shared" si="5"/>
        <v>11969.288352</v>
      </c>
      <c r="V14"/>
      <c r="W14" s="15">
        <f t="shared" si="6"/>
        <v>30</v>
      </c>
      <c r="X14" s="27">
        <f t="shared" si="16"/>
        <v>1</v>
      </c>
      <c r="Y14" s="98">
        <f t="shared" si="7"/>
        <v>2393.8576704</v>
      </c>
      <c r="Z14" s="133">
        <f t="shared" si="8"/>
        <v>5984.644176</v>
      </c>
      <c r="AA14" s="98">
        <f t="shared" si="9"/>
        <v>3590.7865055999996</v>
      </c>
      <c r="AB14" s="12">
        <f t="shared" si="17"/>
        <v>0</v>
      </c>
      <c r="AC14" s="27">
        <f t="shared" si="18"/>
        <v>0</v>
      </c>
      <c r="AD14" s="96">
        <f>U14*AC14</f>
        <v>0</v>
      </c>
      <c r="AE14"/>
      <c r="AF14" s="99">
        <f t="shared" si="11"/>
        <v>7490.88</v>
      </c>
      <c r="AG14" s="99">
        <f t="shared" si="12"/>
        <v>2150.631648</v>
      </c>
      <c r="AH14" s="99">
        <f t="shared" si="13"/>
        <v>9641.511648</v>
      </c>
      <c r="AI14" s="95"/>
      <c r="AJ14" s="95"/>
      <c r="AK14" s="95">
        <f t="shared" si="14"/>
        <v>9641.511648</v>
      </c>
      <c r="AL14" s="95">
        <f>T14-AK14</f>
        <v>0</v>
      </c>
    </row>
    <row r="15" spans="1:38" s="29" customFormat="1" ht="15">
      <c r="A15" s="26" t="s">
        <v>33</v>
      </c>
      <c r="B15" s="143">
        <v>2053</v>
      </c>
      <c r="C15" s="7" t="s">
        <v>34</v>
      </c>
      <c r="D15" s="29" t="s">
        <v>40</v>
      </c>
      <c r="E15" s="7" t="s">
        <v>0</v>
      </c>
      <c r="F15" t="s">
        <v>36</v>
      </c>
      <c r="G15" s="75" t="s">
        <v>73</v>
      </c>
      <c r="H15" s="5">
        <v>3</v>
      </c>
      <c r="I15" s="29">
        <f t="shared" si="2"/>
        <v>30</v>
      </c>
      <c r="K15" s="100">
        <f>IF(E15="UGRD",H15*I15*'3-3 Load Table'!$G$7,IF(E15="GRAD",H15*I15*'3-3 Load Table'!$G$8))</f>
        <v>21610.8</v>
      </c>
      <c r="L15" s="140" t="s">
        <v>47</v>
      </c>
      <c r="N15" s="29">
        <f>VLOOKUP(G15,'3-3 Load Table'!$A$1:C20,3,FALSE)</f>
        <v>1</v>
      </c>
      <c r="O15" s="101">
        <f>VLOOKUP(G15,'3-3 Load Table'!$A$1:B20,2,FALSE)</f>
        <v>62424</v>
      </c>
      <c r="P15" s="95">
        <f t="shared" si="19"/>
        <v>7490.88</v>
      </c>
      <c r="Q15" s="95">
        <f>IF(N15=1,P15*'3-3 Load Table'!$G$1,IF(N15=2,P15*'3-3 Load Table'!$G$6,IF(N15=3,P15*'3-3 Load Table'!$G$2,IF(N15=4,P15*'3-3 Load Table'!$G$4,IF(N15=5,P15*'3-3 Load Table'!$G$3,)))))</f>
        <v>2150.631648</v>
      </c>
      <c r="R15" s="95">
        <f t="shared" si="3"/>
        <v>9641.511648</v>
      </c>
      <c r="S15" s="95"/>
      <c r="T15" s="95">
        <f t="shared" si="4"/>
        <v>9641.511648</v>
      </c>
      <c r="U15" s="96">
        <f t="shared" si="5"/>
        <v>11969.288352</v>
      </c>
      <c r="V15"/>
      <c r="W15" s="15">
        <f t="shared" si="6"/>
        <v>30</v>
      </c>
      <c r="X15" s="27">
        <f t="shared" si="16"/>
        <v>1</v>
      </c>
      <c r="Y15" s="98">
        <f t="shared" si="7"/>
        <v>2393.8576704</v>
      </c>
      <c r="Z15" s="133">
        <f t="shared" si="8"/>
        <v>5984.644176</v>
      </c>
      <c r="AA15" s="98">
        <f t="shared" si="9"/>
        <v>3590.7865055999996</v>
      </c>
      <c r="AB15" s="12">
        <f t="shared" si="17"/>
        <v>0</v>
      </c>
      <c r="AC15" s="27">
        <f t="shared" si="18"/>
        <v>0</v>
      </c>
      <c r="AD15" s="96">
        <f>U15*AC15</f>
        <v>0</v>
      </c>
      <c r="AE15"/>
      <c r="AF15" s="99">
        <f t="shared" si="11"/>
        <v>7490.88</v>
      </c>
      <c r="AG15" s="99">
        <f t="shared" si="12"/>
        <v>2150.631648</v>
      </c>
      <c r="AH15" s="99">
        <f t="shared" si="13"/>
        <v>9641.511648</v>
      </c>
      <c r="AI15" s="95"/>
      <c r="AJ15" s="95"/>
      <c r="AK15" s="95">
        <f t="shared" si="14"/>
        <v>9641.511648</v>
      </c>
      <c r="AL15" s="95">
        <f>T15-AK15</f>
        <v>0</v>
      </c>
    </row>
    <row r="16" spans="1:38" s="29" customFormat="1" ht="15">
      <c r="A16" s="26" t="s">
        <v>33</v>
      </c>
      <c r="B16" s="143">
        <v>3633</v>
      </c>
      <c r="C16" s="7" t="s">
        <v>34</v>
      </c>
      <c r="D16" s="29" t="s">
        <v>35</v>
      </c>
      <c r="E16" s="7" t="s">
        <v>0</v>
      </c>
      <c r="F16" t="s">
        <v>36</v>
      </c>
      <c r="G16" s="75" t="s">
        <v>73</v>
      </c>
      <c r="H16" s="5">
        <v>3</v>
      </c>
      <c r="I16" s="29">
        <f t="shared" si="2"/>
        <v>30</v>
      </c>
      <c r="K16" s="100">
        <f>IF(E16="UGRD",H16*I16*'3-3 Load Table'!$G$7,IF(E16="GRAD",H16*I16*'3-3 Load Table'!$G$8))</f>
        <v>21610.8</v>
      </c>
      <c r="L16" s="140" t="s">
        <v>47</v>
      </c>
      <c r="N16" s="29">
        <f>VLOOKUP(G16,'3-3 Load Table'!$A$1:C24,3,FALSE)</f>
        <v>1</v>
      </c>
      <c r="O16" s="101">
        <f>VLOOKUP(G16,'3-3 Load Table'!$A$1:B24,2,FALSE)</f>
        <v>62424</v>
      </c>
      <c r="P16" s="95">
        <f t="shared" si="19"/>
        <v>7490.88</v>
      </c>
      <c r="Q16" s="95">
        <f>IF(N16=1,P16*'3-3 Load Table'!$G$1,IF(N16=2,P16*'3-3 Load Table'!$G$6,IF(N16=3,P16*'3-3 Load Table'!$G$2,IF(N16=4,P16*'3-3 Load Table'!$G$4,IF(N16=5,P16*'3-3 Load Table'!$G$3,)))))</f>
        <v>2150.631648</v>
      </c>
      <c r="R16" s="95">
        <f t="shared" si="3"/>
        <v>9641.511648</v>
      </c>
      <c r="S16" s="95"/>
      <c r="T16" s="95">
        <f t="shared" si="4"/>
        <v>9641.511648</v>
      </c>
      <c r="U16" s="96">
        <f t="shared" si="5"/>
        <v>11969.288352</v>
      </c>
      <c r="V16"/>
      <c r="W16" s="15">
        <f t="shared" si="6"/>
        <v>30</v>
      </c>
      <c r="X16" s="27">
        <f t="shared" si="16"/>
        <v>1</v>
      </c>
      <c r="Y16" s="98">
        <f t="shared" si="7"/>
        <v>2393.8576704</v>
      </c>
      <c r="Z16" s="133">
        <f t="shared" si="8"/>
        <v>5984.644176</v>
      </c>
      <c r="AA16" s="98">
        <f t="shared" si="9"/>
        <v>3590.7865055999996</v>
      </c>
      <c r="AB16" s="12">
        <f t="shared" si="17"/>
        <v>0</v>
      </c>
      <c r="AC16" s="27">
        <f t="shared" si="18"/>
        <v>0</v>
      </c>
      <c r="AD16" s="96">
        <f>U16*AC16</f>
        <v>0</v>
      </c>
      <c r="AE16"/>
      <c r="AF16" s="99">
        <f t="shared" si="11"/>
        <v>7490.88</v>
      </c>
      <c r="AG16" s="99">
        <f t="shared" si="12"/>
        <v>2150.631648</v>
      </c>
      <c r="AH16" s="99">
        <f t="shared" si="13"/>
        <v>9641.511648</v>
      </c>
      <c r="AI16" s="95"/>
      <c r="AJ16" s="95"/>
      <c r="AK16" s="95">
        <f t="shared" si="14"/>
        <v>9641.511648</v>
      </c>
      <c r="AL16" s="95">
        <f>T16-AK16</f>
        <v>0</v>
      </c>
    </row>
    <row r="17" spans="1:38" s="29" customFormat="1" ht="15.75" thickBot="1">
      <c r="A17" s="26" t="s">
        <v>33</v>
      </c>
      <c r="B17" s="143">
        <v>4333</v>
      </c>
      <c r="C17" s="7" t="s">
        <v>34</v>
      </c>
      <c r="D17" s="29" t="s">
        <v>41</v>
      </c>
      <c r="E17" s="7" t="s">
        <v>0</v>
      </c>
      <c r="F17" t="s">
        <v>36</v>
      </c>
      <c r="G17" s="76" t="s">
        <v>73</v>
      </c>
      <c r="H17" s="5">
        <v>3</v>
      </c>
      <c r="I17" s="29">
        <f t="shared" si="2"/>
        <v>30</v>
      </c>
      <c r="K17" s="100">
        <f>IF(E17="UGRD",H17*I17*'3-3 Load Table'!$G$7,IF(E17="GRAD",H17*I17*'3-3 Load Table'!$G$8))</f>
        <v>21610.8</v>
      </c>
      <c r="L17" s="141" t="s">
        <v>47</v>
      </c>
      <c r="N17" s="29">
        <f>VLOOKUP(G17,'3-3 Load Table'!$A$1:C25,3,FALSE)</f>
        <v>1</v>
      </c>
      <c r="O17" s="101">
        <f>VLOOKUP(G17,'3-3 Load Table'!$A$1:B25,2,FALSE)</f>
        <v>62424</v>
      </c>
      <c r="P17" s="95">
        <f t="shared" si="19"/>
        <v>7490.88</v>
      </c>
      <c r="Q17" s="95">
        <f>IF(N17=1,P17*'3-3 Load Table'!$G$1,IF(N17=2,P17*'3-3 Load Table'!$G$6,IF(N17=3,P17*'3-3 Load Table'!$G$2,IF(N17=4,P17*'3-3 Load Table'!$G$4,IF(N17=5,P17*'3-3 Load Table'!$G$3,)))))</f>
        <v>2150.631648</v>
      </c>
      <c r="R17" s="95">
        <f t="shared" si="3"/>
        <v>9641.511648</v>
      </c>
      <c r="S17" s="95"/>
      <c r="T17" s="95">
        <f t="shared" si="4"/>
        <v>9641.511648</v>
      </c>
      <c r="U17" s="96">
        <f t="shared" si="5"/>
        <v>11969.288352</v>
      </c>
      <c r="V17"/>
      <c r="W17" s="15">
        <f t="shared" si="6"/>
        <v>30</v>
      </c>
      <c r="X17" s="27">
        <f t="shared" si="16"/>
        <v>1</v>
      </c>
      <c r="Y17" s="98">
        <f t="shared" si="7"/>
        <v>2393.8576704</v>
      </c>
      <c r="Z17" s="133">
        <f t="shared" si="8"/>
        <v>5984.644176</v>
      </c>
      <c r="AA17" s="98">
        <f t="shared" si="9"/>
        <v>3590.7865055999996</v>
      </c>
      <c r="AB17" s="12">
        <f t="shared" si="17"/>
        <v>0</v>
      </c>
      <c r="AC17" s="27">
        <f t="shared" si="18"/>
        <v>0</v>
      </c>
      <c r="AD17" s="96">
        <f>U17*AC17</f>
        <v>0</v>
      </c>
      <c r="AE17"/>
      <c r="AF17" s="99">
        <f t="shared" si="11"/>
        <v>7490.88</v>
      </c>
      <c r="AG17" s="99">
        <f t="shared" si="12"/>
        <v>2150.631648</v>
      </c>
      <c r="AH17" s="99">
        <f t="shared" si="13"/>
        <v>9641.511648</v>
      </c>
      <c r="AI17" s="95"/>
      <c r="AJ17" s="95"/>
      <c r="AK17" s="95">
        <f t="shared" si="14"/>
        <v>9641.511648</v>
      </c>
      <c r="AL17" s="95">
        <f>T17-AK17</f>
        <v>0</v>
      </c>
    </row>
    <row r="18" spans="26:38" ht="15">
      <c r="Z18" s="77"/>
      <c r="AF18" s="28"/>
      <c r="AG18" s="28"/>
      <c r="AH18" s="28"/>
      <c r="AI18" s="28"/>
      <c r="AJ18" s="28"/>
      <c r="AK18" s="28"/>
      <c r="AL18" s="28"/>
    </row>
    <row r="19" spans="1:38" s="29" customFormat="1" ht="15">
      <c r="A19" s="56"/>
      <c r="H19" s="57"/>
      <c r="K19" s="58"/>
      <c r="O19" s="59"/>
      <c r="P19" s="60"/>
      <c r="Q19" s="60"/>
      <c r="R19" s="60"/>
      <c r="S19"/>
      <c r="T19"/>
      <c r="U19"/>
      <c r="V19"/>
      <c r="W19"/>
      <c r="X19"/>
      <c r="Y19"/>
      <c r="Z19" s="77"/>
      <c r="AA19"/>
      <c r="AB19"/>
      <c r="AC19"/>
      <c r="AD19"/>
      <c r="AE19"/>
      <c r="AF19" s="28"/>
      <c r="AG19" s="28"/>
      <c r="AH19" s="28"/>
      <c r="AI19" s="28"/>
      <c r="AJ19" s="28"/>
      <c r="AK19" s="28"/>
      <c r="AL19" s="28"/>
    </row>
    <row r="20" spans="1:31" s="29" customFormat="1" ht="15">
      <c r="A20" s="56"/>
      <c r="H20" s="57"/>
      <c r="K20" s="58"/>
      <c r="O20" s="59"/>
      <c r="P20" s="60"/>
      <c r="Q20" s="60"/>
      <c r="R20" s="60"/>
      <c r="S20" s="61"/>
      <c r="T20" s="60"/>
      <c r="U20" s="60"/>
      <c r="V20"/>
      <c r="W20" s="60"/>
      <c r="X20" s="62"/>
      <c r="Z20" s="134"/>
      <c r="AE20"/>
    </row>
    <row r="21" spans="1:38" s="29" customFormat="1" ht="15">
      <c r="A21" s="56"/>
      <c r="G21" s="237" t="s">
        <v>97</v>
      </c>
      <c r="H21" s="57"/>
      <c r="I21" s="63"/>
      <c r="J21" s="63"/>
      <c r="K21" s="144"/>
      <c r="L21" s="145"/>
      <c r="M21" s="146"/>
      <c r="N21" s="146"/>
      <c r="O21" s="146"/>
      <c r="P21" s="147"/>
      <c r="Q21" s="147"/>
      <c r="R21" s="147"/>
      <c r="S21" s="147"/>
      <c r="T21" s="147"/>
      <c r="U21" s="144"/>
      <c r="V21" s="148"/>
      <c r="W21" s="149"/>
      <c r="X21" s="150"/>
      <c r="Y21" s="151"/>
      <c r="Z21" s="152"/>
      <c r="AA21" s="151"/>
      <c r="AB21" s="149"/>
      <c r="AC21" s="150"/>
      <c r="AD21" s="144"/>
      <c r="AE21" s="148"/>
      <c r="AF21" s="147"/>
      <c r="AG21" s="147"/>
      <c r="AH21" s="147"/>
      <c r="AI21" s="147"/>
      <c r="AJ21" s="147"/>
      <c r="AK21" s="147"/>
      <c r="AL21" s="147"/>
    </row>
    <row r="22" spans="1:31" s="29" customFormat="1" ht="15">
      <c r="A22" s="56"/>
      <c r="G22" s="238"/>
      <c r="H22" s="57"/>
      <c r="K22" s="58"/>
      <c r="O22" s="59"/>
      <c r="P22" s="60"/>
      <c r="Q22" s="60"/>
      <c r="R22" s="60"/>
      <c r="S22" s="61"/>
      <c r="T22" s="60"/>
      <c r="U22" s="60"/>
      <c r="V22" s="148"/>
      <c r="W22" s="60"/>
      <c r="X22" s="62"/>
      <c r="Z22" s="134"/>
      <c r="AE22" s="148"/>
    </row>
    <row r="23" spans="1:38" s="29" customFormat="1" ht="15">
      <c r="A23" s="56"/>
      <c r="G23" s="238"/>
      <c r="H23" s="57"/>
      <c r="I23" s="63"/>
      <c r="J23" s="63"/>
      <c r="K23" s="144"/>
      <c r="L23" s="145"/>
      <c r="M23" s="146"/>
      <c r="N23" s="146"/>
      <c r="O23" s="146"/>
      <c r="P23" s="147"/>
      <c r="Q23" s="147"/>
      <c r="R23" s="147"/>
      <c r="S23" s="147"/>
      <c r="T23" s="147"/>
      <c r="U23" s="144"/>
      <c r="V23" s="148"/>
      <c r="W23" s="149"/>
      <c r="X23" s="150"/>
      <c r="Y23" s="151"/>
      <c r="Z23" s="152"/>
      <c r="AA23" s="151"/>
      <c r="AB23" s="149"/>
      <c r="AC23" s="150"/>
      <c r="AD23" s="144"/>
      <c r="AE23" s="148"/>
      <c r="AF23" s="147"/>
      <c r="AG23" s="147"/>
      <c r="AH23" s="147"/>
      <c r="AI23" s="147"/>
      <c r="AJ23" s="147"/>
      <c r="AK23" s="147"/>
      <c r="AL23" s="147"/>
    </row>
    <row r="24" spans="1:31" s="29" customFormat="1" ht="15">
      <c r="A24" s="56"/>
      <c r="G24" s="238"/>
      <c r="H24" s="57"/>
      <c r="K24" s="58"/>
      <c r="O24" s="59"/>
      <c r="P24" s="60"/>
      <c r="Q24" s="60"/>
      <c r="R24" s="60"/>
      <c r="S24" s="61"/>
      <c r="T24" s="60"/>
      <c r="U24" s="60"/>
      <c r="V24" s="148"/>
      <c r="W24" s="60"/>
      <c r="X24" s="62"/>
      <c r="Z24" s="134"/>
      <c r="AE24" s="148"/>
    </row>
    <row r="25" spans="1:31" s="29" customFormat="1" ht="15">
      <c r="A25" s="56"/>
      <c r="G25" s="238"/>
      <c r="H25" s="57"/>
      <c r="K25" s="58"/>
      <c r="O25" s="59"/>
      <c r="P25" s="60"/>
      <c r="Q25" s="60"/>
      <c r="R25" s="60"/>
      <c r="S25" s="61"/>
      <c r="T25" s="60"/>
      <c r="U25" s="60"/>
      <c r="V25" s="148"/>
      <c r="W25" s="60"/>
      <c r="X25" s="62"/>
      <c r="Z25" s="134"/>
      <c r="AC25" s="63"/>
      <c r="AD25" s="63"/>
      <c r="AE25" s="148"/>
    </row>
    <row r="26" spans="1:38" s="63" customFormat="1" ht="15">
      <c r="A26" s="56"/>
      <c r="B26" s="29"/>
      <c r="C26" s="29"/>
      <c r="D26" s="29"/>
      <c r="E26" s="29"/>
      <c r="F26" s="29"/>
      <c r="G26" s="238"/>
      <c r="H26" s="57"/>
      <c r="K26" s="144"/>
      <c r="L26" s="145"/>
      <c r="M26" s="146"/>
      <c r="N26" s="146"/>
      <c r="O26" s="146"/>
      <c r="P26" s="147"/>
      <c r="Q26" s="147"/>
      <c r="R26" s="147"/>
      <c r="S26" s="147"/>
      <c r="T26" s="147"/>
      <c r="U26" s="144"/>
      <c r="V26" s="148"/>
      <c r="W26" s="149"/>
      <c r="X26" s="150"/>
      <c r="Y26" s="151"/>
      <c r="Z26" s="152"/>
      <c r="AA26" s="151"/>
      <c r="AB26" s="149"/>
      <c r="AC26" s="150"/>
      <c r="AD26" s="144"/>
      <c r="AE26" s="148"/>
      <c r="AF26" s="147"/>
      <c r="AG26" s="147"/>
      <c r="AH26" s="147"/>
      <c r="AI26" s="147"/>
      <c r="AJ26" s="147"/>
      <c r="AK26" s="147"/>
      <c r="AL26" s="147"/>
    </row>
    <row r="27" spans="1:31" s="29" customFormat="1" ht="15">
      <c r="A27" s="56"/>
      <c r="G27" s="238"/>
      <c r="H27" s="57"/>
      <c r="K27" s="58"/>
      <c r="O27" s="59"/>
      <c r="P27" s="60"/>
      <c r="Q27" s="60"/>
      <c r="R27" s="60"/>
      <c r="S27" s="61"/>
      <c r="T27" s="60"/>
      <c r="U27" s="60"/>
      <c r="V27" s="148"/>
      <c r="W27" s="60"/>
      <c r="X27" s="62"/>
      <c r="Z27" s="134"/>
      <c r="AE27" s="148"/>
    </row>
    <row r="28" spans="1:38" s="29" customFormat="1" ht="15">
      <c r="A28" s="56"/>
      <c r="G28" s="238"/>
      <c r="H28" s="57"/>
      <c r="I28" s="63"/>
      <c r="J28" s="63"/>
      <c r="K28" s="144"/>
      <c r="L28" s="145"/>
      <c r="M28" s="146"/>
      <c r="N28" s="146"/>
      <c r="O28" s="146"/>
      <c r="P28" s="147"/>
      <c r="Q28" s="147"/>
      <c r="R28" s="147"/>
      <c r="S28" s="147"/>
      <c r="T28" s="147"/>
      <c r="U28" s="144"/>
      <c r="V28" s="148"/>
      <c r="W28" s="149"/>
      <c r="X28" s="150"/>
      <c r="Y28" s="151"/>
      <c r="Z28" s="152"/>
      <c r="AA28" s="151"/>
      <c r="AB28" s="149"/>
      <c r="AC28" s="150"/>
      <c r="AD28" s="144"/>
      <c r="AE28" s="148"/>
      <c r="AF28" s="147"/>
      <c r="AG28" s="147"/>
      <c r="AH28" s="147"/>
      <c r="AI28" s="147"/>
      <c r="AJ28" s="147"/>
      <c r="AK28" s="147"/>
      <c r="AL28" s="147"/>
    </row>
    <row r="29" spans="1:31" s="29" customFormat="1" ht="15">
      <c r="A29" s="56"/>
      <c r="G29" s="239"/>
      <c r="H29" s="57"/>
      <c r="K29" s="58"/>
      <c r="O29" s="59"/>
      <c r="P29" s="60"/>
      <c r="Q29" s="60"/>
      <c r="R29" s="60"/>
      <c r="S29" s="61"/>
      <c r="T29" s="60"/>
      <c r="U29" s="60"/>
      <c r="V29" s="148"/>
      <c r="W29" s="60"/>
      <c r="X29" s="62"/>
      <c r="Z29" s="134"/>
      <c r="AE29" s="148"/>
    </row>
    <row r="30" spans="1:31" s="29" customFormat="1" ht="15">
      <c r="A30" s="56"/>
      <c r="H30" s="57"/>
      <c r="K30" s="58"/>
      <c r="O30" s="59"/>
      <c r="P30" s="60"/>
      <c r="Q30" s="60"/>
      <c r="R30" s="60"/>
      <c r="S30" s="61"/>
      <c r="T30" s="60"/>
      <c r="U30" s="60"/>
      <c r="V30" s="148"/>
      <c r="W30" s="60"/>
      <c r="X30" s="62"/>
      <c r="Z30" s="134"/>
      <c r="AE30" s="148"/>
    </row>
    <row r="31" spans="1:38" s="29" customFormat="1" ht="15">
      <c r="A31" s="56"/>
      <c r="H31" s="57"/>
      <c r="I31" s="63"/>
      <c r="J31" s="63"/>
      <c r="K31" s="144"/>
      <c r="L31" s="145"/>
      <c r="M31" s="146"/>
      <c r="N31" s="146"/>
      <c r="O31" s="146"/>
      <c r="P31" s="147"/>
      <c r="Q31" s="147"/>
      <c r="R31" s="147"/>
      <c r="S31" s="147"/>
      <c r="T31" s="147"/>
      <c r="U31" s="144"/>
      <c r="V31" s="148"/>
      <c r="W31" s="149"/>
      <c r="X31" s="150"/>
      <c r="Y31" s="151"/>
      <c r="Z31" s="152"/>
      <c r="AA31" s="151"/>
      <c r="AB31" s="149"/>
      <c r="AC31" s="150"/>
      <c r="AD31" s="144"/>
      <c r="AE31" s="148"/>
      <c r="AF31" s="147"/>
      <c r="AG31" s="147"/>
      <c r="AH31" s="147"/>
      <c r="AI31" s="147"/>
      <c r="AJ31" s="147"/>
      <c r="AK31" s="147"/>
      <c r="AL31" s="147"/>
    </row>
    <row r="32" spans="1:31" s="29" customFormat="1" ht="15">
      <c r="A32" s="56"/>
      <c r="H32" s="57"/>
      <c r="K32" s="58"/>
      <c r="O32" s="59"/>
      <c r="P32" s="60"/>
      <c r="Q32" s="60"/>
      <c r="R32" s="60"/>
      <c r="S32" s="61"/>
      <c r="T32" s="60"/>
      <c r="U32" s="60"/>
      <c r="V32" s="148"/>
      <c r="W32" s="60"/>
      <c r="X32" s="62"/>
      <c r="Z32" s="134"/>
      <c r="AE32" s="148"/>
    </row>
    <row r="33" spans="1:38" s="29" customFormat="1" ht="15">
      <c r="A33" s="56"/>
      <c r="H33" s="57"/>
      <c r="I33" s="63"/>
      <c r="J33" s="63"/>
      <c r="K33" s="144"/>
      <c r="L33" s="145"/>
      <c r="M33" s="146"/>
      <c r="N33" s="146"/>
      <c r="O33" s="146"/>
      <c r="P33" s="147"/>
      <c r="Q33" s="147"/>
      <c r="R33" s="147"/>
      <c r="S33" s="147"/>
      <c r="T33" s="147"/>
      <c r="U33" s="144"/>
      <c r="V33" s="148"/>
      <c r="W33" s="149"/>
      <c r="X33" s="150"/>
      <c r="Y33" s="151"/>
      <c r="Z33" s="152"/>
      <c r="AA33" s="151"/>
      <c r="AB33" s="149"/>
      <c r="AC33" s="150"/>
      <c r="AD33" s="144"/>
      <c r="AE33" s="148"/>
      <c r="AF33" s="147"/>
      <c r="AG33" s="147"/>
      <c r="AH33" s="147"/>
      <c r="AI33" s="147"/>
      <c r="AJ33" s="147"/>
      <c r="AK33" s="147"/>
      <c r="AL33" s="147"/>
    </row>
    <row r="34" spans="1:31" s="29" customFormat="1" ht="15">
      <c r="A34" s="56"/>
      <c r="H34" s="57"/>
      <c r="K34" s="58"/>
      <c r="O34" s="59"/>
      <c r="P34" s="60"/>
      <c r="Q34" s="60"/>
      <c r="R34" s="60"/>
      <c r="S34" s="61"/>
      <c r="T34" s="60"/>
      <c r="U34" s="60"/>
      <c r="V34" s="148"/>
      <c r="W34" s="60"/>
      <c r="X34" s="62"/>
      <c r="Z34" s="134"/>
      <c r="AE34" s="148"/>
    </row>
    <row r="35" spans="1:31" s="29" customFormat="1" ht="15">
      <c r="A35" s="56"/>
      <c r="H35" s="57"/>
      <c r="K35" s="58"/>
      <c r="O35" s="59"/>
      <c r="P35" s="60"/>
      <c r="Q35" s="60"/>
      <c r="R35" s="60"/>
      <c r="S35" s="61"/>
      <c r="T35" s="60"/>
      <c r="U35" s="60"/>
      <c r="V35" s="148"/>
      <c r="W35" s="60"/>
      <c r="X35" s="62"/>
      <c r="Z35" s="134"/>
      <c r="AE35" s="148"/>
    </row>
    <row r="36" spans="1:38" s="29" customFormat="1" ht="15">
      <c r="A36" s="56"/>
      <c r="H36" s="57"/>
      <c r="I36" s="153"/>
      <c r="J36" s="63"/>
      <c r="K36" s="144"/>
      <c r="L36" s="145"/>
      <c r="M36" s="146"/>
      <c r="N36" s="146"/>
      <c r="O36" s="146"/>
      <c r="P36" s="147"/>
      <c r="Q36" s="147"/>
      <c r="R36" s="147"/>
      <c r="S36" s="147"/>
      <c r="T36" s="147"/>
      <c r="U36" s="144"/>
      <c r="V36" s="148"/>
      <c r="W36" s="149"/>
      <c r="X36" s="150"/>
      <c r="Y36" s="151"/>
      <c r="Z36" s="152"/>
      <c r="AA36" s="151"/>
      <c r="AB36" s="149"/>
      <c r="AC36" s="150"/>
      <c r="AD36" s="144"/>
      <c r="AE36" s="148"/>
      <c r="AF36" s="147"/>
      <c r="AG36" s="147"/>
      <c r="AH36" s="147"/>
      <c r="AI36" s="147"/>
      <c r="AJ36" s="147"/>
      <c r="AK36" s="147"/>
      <c r="AL36" s="147"/>
    </row>
    <row r="37" spans="1:31" s="29" customFormat="1" ht="15">
      <c r="A37" s="56"/>
      <c r="H37" s="57"/>
      <c r="I37" s="119"/>
      <c r="K37" s="58"/>
      <c r="O37" s="59"/>
      <c r="P37" s="60"/>
      <c r="Q37" s="60"/>
      <c r="R37" s="60"/>
      <c r="S37" s="61"/>
      <c r="T37" s="60"/>
      <c r="U37" s="60"/>
      <c r="V37" s="148"/>
      <c r="W37" s="60"/>
      <c r="X37" s="62"/>
      <c r="Z37" s="134"/>
      <c r="AE37" s="148"/>
    </row>
    <row r="38" spans="1:38" s="29" customFormat="1" ht="15">
      <c r="A38" s="56"/>
      <c r="H38" s="57"/>
      <c r="I38" s="153"/>
      <c r="J38" s="63"/>
      <c r="K38" s="144"/>
      <c r="L38" s="145"/>
      <c r="M38" s="146"/>
      <c r="N38" s="146"/>
      <c r="O38" s="146"/>
      <c r="P38" s="147"/>
      <c r="Q38" s="147"/>
      <c r="R38" s="147"/>
      <c r="S38" s="147"/>
      <c r="T38" s="147"/>
      <c r="U38" s="144"/>
      <c r="V38" s="148"/>
      <c r="W38" s="149"/>
      <c r="X38" s="150"/>
      <c r="Y38" s="151"/>
      <c r="Z38" s="152"/>
      <c r="AA38" s="151"/>
      <c r="AB38" s="149"/>
      <c r="AC38" s="150"/>
      <c r="AD38" s="144"/>
      <c r="AE38" s="148"/>
      <c r="AF38" s="147"/>
      <c r="AG38" s="147"/>
      <c r="AH38" s="147"/>
      <c r="AI38" s="147"/>
      <c r="AJ38" s="147"/>
      <c r="AK38" s="147"/>
      <c r="AL38" s="147"/>
    </row>
    <row r="39" spans="1:31" s="29" customFormat="1" ht="15">
      <c r="A39" s="56"/>
      <c r="H39" s="57"/>
      <c r="I39" s="119"/>
      <c r="K39" s="58"/>
      <c r="O39" s="59"/>
      <c r="P39" s="60"/>
      <c r="Q39" s="60"/>
      <c r="R39" s="60"/>
      <c r="S39" s="61"/>
      <c r="T39" s="60"/>
      <c r="U39" s="60"/>
      <c r="V39" s="148"/>
      <c r="W39" s="60"/>
      <c r="X39" s="62"/>
      <c r="Z39" s="134"/>
      <c r="AE39" s="148"/>
    </row>
    <row r="40" spans="1:31" s="29" customFormat="1" ht="15">
      <c r="A40" s="56"/>
      <c r="H40" s="57"/>
      <c r="I40" s="119"/>
      <c r="K40" s="58"/>
      <c r="O40" s="59"/>
      <c r="P40" s="60"/>
      <c r="Q40" s="60"/>
      <c r="R40" s="60"/>
      <c r="S40" s="61"/>
      <c r="T40" s="60"/>
      <c r="U40" s="60"/>
      <c r="V40" s="148"/>
      <c r="W40" s="60"/>
      <c r="X40" s="62"/>
      <c r="Z40" s="134"/>
      <c r="AE40" s="148"/>
    </row>
    <row r="41" spans="1:38" s="29" customFormat="1" ht="15">
      <c r="A41" s="56"/>
      <c r="H41" s="57"/>
      <c r="I41" s="153"/>
      <c r="J41" s="63"/>
      <c r="K41" s="144"/>
      <c r="L41" s="145"/>
      <c r="M41" s="146"/>
      <c r="N41" s="146"/>
      <c r="O41" s="146"/>
      <c r="P41" s="147"/>
      <c r="Q41" s="147"/>
      <c r="R41" s="147"/>
      <c r="S41" s="147"/>
      <c r="T41" s="147"/>
      <c r="U41" s="144"/>
      <c r="V41" s="148"/>
      <c r="W41" s="149"/>
      <c r="X41" s="150"/>
      <c r="Y41" s="151"/>
      <c r="Z41" s="152"/>
      <c r="AA41" s="151"/>
      <c r="AB41" s="149"/>
      <c r="AC41" s="150"/>
      <c r="AD41" s="144"/>
      <c r="AE41" s="148"/>
      <c r="AF41" s="147"/>
      <c r="AG41" s="147"/>
      <c r="AH41" s="147"/>
      <c r="AI41" s="147"/>
      <c r="AJ41" s="147"/>
      <c r="AK41" s="147"/>
      <c r="AL41" s="147"/>
    </row>
    <row r="42" spans="1:31" s="29" customFormat="1" ht="15">
      <c r="A42" s="56"/>
      <c r="H42" s="57"/>
      <c r="I42" s="119"/>
      <c r="K42" s="58"/>
      <c r="O42" s="59"/>
      <c r="P42" s="60"/>
      <c r="Q42" s="60"/>
      <c r="R42" s="60"/>
      <c r="S42" s="61"/>
      <c r="T42" s="60"/>
      <c r="U42" s="60"/>
      <c r="V42" s="148"/>
      <c r="W42" s="60"/>
      <c r="X42" s="62"/>
      <c r="Z42" s="134"/>
      <c r="AE42" s="148"/>
    </row>
    <row r="43" spans="1:38" s="29" customFormat="1" ht="15">
      <c r="A43" s="56"/>
      <c r="H43" s="57"/>
      <c r="I43" s="153"/>
      <c r="J43" s="63"/>
      <c r="K43" s="144"/>
      <c r="L43" s="145"/>
      <c r="M43" s="146"/>
      <c r="N43" s="146"/>
      <c r="O43" s="146"/>
      <c r="P43" s="147"/>
      <c r="Q43" s="147"/>
      <c r="R43" s="147"/>
      <c r="S43" s="147"/>
      <c r="T43" s="147"/>
      <c r="U43" s="144"/>
      <c r="V43" s="148"/>
      <c r="W43" s="149"/>
      <c r="X43" s="150"/>
      <c r="Y43" s="151"/>
      <c r="Z43" s="152"/>
      <c r="AA43" s="151"/>
      <c r="AB43" s="149"/>
      <c r="AC43" s="150"/>
      <c r="AD43" s="144"/>
      <c r="AE43" s="148"/>
      <c r="AF43" s="147"/>
      <c r="AG43" s="147"/>
      <c r="AH43" s="147"/>
      <c r="AI43" s="147"/>
      <c r="AJ43" s="147"/>
      <c r="AK43" s="147"/>
      <c r="AL43" s="147"/>
    </row>
    <row r="44" spans="1:31" s="29" customFormat="1" ht="15">
      <c r="A44" s="56"/>
      <c r="H44" s="57"/>
      <c r="K44" s="58"/>
      <c r="O44" s="59"/>
      <c r="P44" s="60"/>
      <c r="Q44" s="60"/>
      <c r="R44" s="60"/>
      <c r="S44" s="61"/>
      <c r="T44" s="60"/>
      <c r="U44" s="60"/>
      <c r="V44" s="148"/>
      <c r="W44" s="60"/>
      <c r="X44" s="62"/>
      <c r="Z44" s="134"/>
      <c r="AC44" s="63"/>
      <c r="AD44" s="63"/>
      <c r="AE44" s="148"/>
    </row>
    <row r="45" spans="1:31" s="29" customFormat="1" ht="15">
      <c r="A45" s="64"/>
      <c r="C45" s="63"/>
      <c r="E45" s="63"/>
      <c r="H45" s="57"/>
      <c r="K45" s="58"/>
      <c r="O45" s="59"/>
      <c r="P45" s="60"/>
      <c r="Q45" s="60"/>
      <c r="R45" s="60"/>
      <c r="S45" s="61"/>
      <c r="T45" s="60"/>
      <c r="U45" s="60"/>
      <c r="V45" s="148"/>
      <c r="W45" s="60"/>
      <c r="X45" s="62"/>
      <c r="Z45" s="134"/>
      <c r="AE45" s="148"/>
    </row>
    <row r="46" spans="1:38" s="29" customFormat="1" ht="15">
      <c r="A46" s="64"/>
      <c r="C46" s="63"/>
      <c r="E46" s="63"/>
      <c r="H46" s="57"/>
      <c r="I46" s="63"/>
      <c r="J46" s="63"/>
      <c r="K46" s="144"/>
      <c r="L46" s="145"/>
      <c r="M46" s="146"/>
      <c r="N46" s="146"/>
      <c r="O46" s="146"/>
      <c r="P46" s="147"/>
      <c r="Q46" s="147"/>
      <c r="R46" s="147"/>
      <c r="S46" s="147"/>
      <c r="T46" s="147"/>
      <c r="U46" s="144"/>
      <c r="V46" s="148"/>
      <c r="W46" s="149"/>
      <c r="X46" s="150"/>
      <c r="Y46" s="151"/>
      <c r="Z46" s="152"/>
      <c r="AA46" s="151"/>
      <c r="AB46" s="149"/>
      <c r="AC46" s="150"/>
      <c r="AD46" s="144"/>
      <c r="AE46" s="148"/>
      <c r="AF46" s="147"/>
      <c r="AG46" s="147"/>
      <c r="AH46" s="147"/>
      <c r="AI46" s="147"/>
      <c r="AJ46" s="147"/>
      <c r="AK46" s="147"/>
      <c r="AL46" s="147"/>
    </row>
    <row r="47" spans="1:31" s="29" customFormat="1" ht="15">
      <c r="A47" s="64"/>
      <c r="C47" s="63"/>
      <c r="E47" s="63"/>
      <c r="H47" s="57"/>
      <c r="K47" s="58"/>
      <c r="O47" s="59"/>
      <c r="P47" s="60"/>
      <c r="Q47" s="60"/>
      <c r="R47" s="60"/>
      <c r="S47" s="61"/>
      <c r="T47" s="60"/>
      <c r="U47" s="60"/>
      <c r="V47" s="148"/>
      <c r="W47" s="60"/>
      <c r="X47" s="62"/>
      <c r="Z47" s="134"/>
      <c r="AE47" s="148"/>
    </row>
    <row r="48" spans="1:38" s="29" customFormat="1" ht="15">
      <c r="A48" s="64"/>
      <c r="C48" s="63"/>
      <c r="E48" s="63"/>
      <c r="H48" s="57"/>
      <c r="I48" s="63"/>
      <c r="J48" s="63"/>
      <c r="K48" s="144"/>
      <c r="L48" s="145"/>
      <c r="M48" s="146"/>
      <c r="N48" s="146"/>
      <c r="O48" s="146"/>
      <c r="P48" s="147"/>
      <c r="Q48" s="147"/>
      <c r="R48" s="147"/>
      <c r="S48" s="147"/>
      <c r="T48" s="147"/>
      <c r="U48" s="144"/>
      <c r="V48" s="148"/>
      <c r="W48" s="149"/>
      <c r="X48" s="150"/>
      <c r="Y48" s="151"/>
      <c r="Z48" s="152"/>
      <c r="AA48" s="151"/>
      <c r="AB48" s="149"/>
      <c r="AC48" s="150"/>
      <c r="AD48" s="144"/>
      <c r="AE48" s="148"/>
      <c r="AF48" s="147"/>
      <c r="AG48" s="147"/>
      <c r="AH48" s="147"/>
      <c r="AI48" s="147"/>
      <c r="AJ48" s="147"/>
      <c r="AK48" s="147"/>
      <c r="AL48" s="147"/>
    </row>
    <row r="49" spans="1:31" s="29" customFormat="1" ht="15">
      <c r="A49" s="64"/>
      <c r="C49" s="63"/>
      <c r="E49" s="63"/>
      <c r="H49" s="57"/>
      <c r="K49" s="58"/>
      <c r="O49" s="59"/>
      <c r="P49" s="60"/>
      <c r="Q49" s="60"/>
      <c r="R49" s="60"/>
      <c r="S49" s="61"/>
      <c r="T49" s="60"/>
      <c r="U49" s="60"/>
      <c r="V49" s="148"/>
      <c r="W49" s="60"/>
      <c r="X49" s="62"/>
      <c r="Z49" s="134"/>
      <c r="AE49" s="148"/>
    </row>
    <row r="50" spans="1:38" s="63" customFormat="1" ht="15">
      <c r="A50" s="64"/>
      <c r="B50" s="29"/>
      <c r="D50" s="29"/>
      <c r="F50" s="29"/>
      <c r="G50" s="29"/>
      <c r="H50" s="57"/>
      <c r="I50" s="29"/>
      <c r="J50" s="29"/>
      <c r="K50" s="58"/>
      <c r="L50" s="29"/>
      <c r="M50" s="29"/>
      <c r="N50" s="29"/>
      <c r="O50" s="59"/>
      <c r="P50" s="60"/>
      <c r="Q50" s="60"/>
      <c r="R50" s="60"/>
      <c r="S50" s="61"/>
      <c r="T50" s="60"/>
      <c r="U50" s="60"/>
      <c r="V50" s="148"/>
      <c r="W50" s="60"/>
      <c r="X50" s="62"/>
      <c r="Y50" s="29"/>
      <c r="Z50" s="134"/>
      <c r="AA50" s="29"/>
      <c r="AB50" s="29"/>
      <c r="AE50" s="148"/>
      <c r="AF50" s="29"/>
      <c r="AG50" s="29"/>
      <c r="AH50" s="29"/>
      <c r="AI50" s="29"/>
      <c r="AJ50" s="29"/>
      <c r="AK50" s="29"/>
      <c r="AL50" s="29"/>
    </row>
    <row r="51" spans="1:38" s="29" customFormat="1" ht="15">
      <c r="A51" s="64"/>
      <c r="C51" s="63"/>
      <c r="E51" s="63"/>
      <c r="H51" s="57"/>
      <c r="I51" s="63"/>
      <c r="J51" s="63"/>
      <c r="K51" s="144"/>
      <c r="L51" s="145"/>
      <c r="M51" s="146"/>
      <c r="N51" s="146"/>
      <c r="O51" s="146"/>
      <c r="P51" s="147"/>
      <c r="Q51" s="147"/>
      <c r="R51" s="147"/>
      <c r="S51" s="147"/>
      <c r="T51" s="147"/>
      <c r="U51" s="144"/>
      <c r="V51" s="148"/>
      <c r="W51" s="149"/>
      <c r="X51" s="150"/>
      <c r="Y51" s="151"/>
      <c r="Z51" s="152"/>
      <c r="AA51" s="151"/>
      <c r="AB51" s="149"/>
      <c r="AC51" s="150"/>
      <c r="AD51" s="144"/>
      <c r="AE51" s="148"/>
      <c r="AF51" s="147"/>
      <c r="AG51" s="147"/>
      <c r="AH51" s="147"/>
      <c r="AI51" s="147"/>
      <c r="AJ51" s="147"/>
      <c r="AK51" s="147"/>
      <c r="AL51" s="147"/>
    </row>
    <row r="52" spans="8:52" ht="15">
      <c r="H52" s="57"/>
      <c r="I52" s="29"/>
      <c r="J52" s="29"/>
      <c r="K52" s="58"/>
      <c r="L52" s="29"/>
      <c r="M52" s="29"/>
      <c r="N52" s="29"/>
      <c r="O52" s="59"/>
      <c r="P52" s="60"/>
      <c r="Q52" s="60"/>
      <c r="R52" s="60"/>
      <c r="S52" s="61"/>
      <c r="T52" s="60"/>
      <c r="U52" s="60"/>
      <c r="V52" s="148"/>
      <c r="W52" s="60"/>
      <c r="X52" s="62"/>
      <c r="Y52" s="29"/>
      <c r="Z52" s="134"/>
      <c r="AA52" s="29"/>
      <c r="AB52" s="29"/>
      <c r="AC52" s="29"/>
      <c r="AD52" s="29"/>
      <c r="AE52" s="148"/>
      <c r="AF52" s="29"/>
      <c r="AG52" s="29"/>
      <c r="AH52" s="29"/>
      <c r="AI52" s="29"/>
      <c r="AJ52" s="29"/>
      <c r="AK52" s="29"/>
      <c r="AL52" s="29"/>
      <c r="AM52" s="29"/>
      <c r="AZ52" s="7"/>
    </row>
    <row r="53" spans="8:52" ht="15.75" thickBot="1">
      <c r="H53" s="57"/>
      <c r="I53" s="63"/>
      <c r="J53" s="63"/>
      <c r="K53" s="144"/>
      <c r="L53" s="145"/>
      <c r="M53" s="146"/>
      <c r="N53" s="146"/>
      <c r="O53" s="146"/>
      <c r="P53" s="147"/>
      <c r="Q53" s="147"/>
      <c r="R53" s="147"/>
      <c r="S53" s="147"/>
      <c r="T53" s="147"/>
      <c r="U53" s="144"/>
      <c r="V53" s="148"/>
      <c r="W53" s="149"/>
      <c r="X53" s="150"/>
      <c r="Y53" s="151"/>
      <c r="Z53" s="154"/>
      <c r="AA53" s="151"/>
      <c r="AB53" s="149"/>
      <c r="AC53" s="150"/>
      <c r="AD53" s="144"/>
      <c r="AE53" s="148"/>
      <c r="AF53" s="147"/>
      <c r="AG53" s="147"/>
      <c r="AH53" s="147"/>
      <c r="AI53" s="147"/>
      <c r="AJ53" s="147"/>
      <c r="AK53" s="147"/>
      <c r="AL53" s="147"/>
      <c r="AM53" s="29"/>
      <c r="AZ53" s="7"/>
    </row>
    <row r="54" spans="8:52" ht="15">
      <c r="H54" s="57"/>
      <c r="I54" s="29"/>
      <c r="J54" s="29"/>
      <c r="K54" s="58"/>
      <c r="L54" s="29"/>
      <c r="M54" s="29"/>
      <c r="N54" s="29"/>
      <c r="O54" s="29"/>
      <c r="P54" s="60"/>
      <c r="Q54" s="60"/>
      <c r="R54" s="60"/>
      <c r="S54" s="61"/>
      <c r="T54" s="60"/>
      <c r="U54" s="60"/>
      <c r="V54" s="60"/>
      <c r="W54" s="60"/>
      <c r="X54" s="62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Z54" s="7"/>
    </row>
    <row r="55" spans="8:52" ht="15">
      <c r="H55" s="57"/>
      <c r="I55" s="29"/>
      <c r="J55" s="29"/>
      <c r="K55" s="58"/>
      <c r="L55" s="29"/>
      <c r="M55" s="29"/>
      <c r="N55" s="29"/>
      <c r="O55" s="29"/>
      <c r="P55" s="60"/>
      <c r="Q55" s="60"/>
      <c r="R55" s="60"/>
      <c r="S55" s="61"/>
      <c r="T55" s="60"/>
      <c r="U55" s="60"/>
      <c r="V55" s="60"/>
      <c r="W55" s="60"/>
      <c r="X55" s="62"/>
      <c r="Y55" s="29"/>
      <c r="Z55" s="29"/>
      <c r="AA55" s="29"/>
      <c r="AB55" s="29"/>
      <c r="AC55" s="63"/>
      <c r="AD55" s="63"/>
      <c r="AE55" s="63"/>
      <c r="AF55" s="29"/>
      <c r="AG55" s="29"/>
      <c r="AH55" s="29"/>
      <c r="AI55" s="29"/>
      <c r="AJ55" s="29"/>
      <c r="AK55" s="29"/>
      <c r="AL55" s="29"/>
      <c r="AM55" s="29"/>
      <c r="AZ55" s="7"/>
    </row>
    <row r="56" spans="8:52" ht="15">
      <c r="H56" s="57"/>
      <c r="I56" s="29"/>
      <c r="J56" s="29"/>
      <c r="K56" s="58"/>
      <c r="L56" s="29"/>
      <c r="M56" s="29"/>
      <c r="N56" s="29"/>
      <c r="O56" s="29"/>
      <c r="P56" s="60"/>
      <c r="Q56" s="60"/>
      <c r="R56" s="60"/>
      <c r="S56" s="61"/>
      <c r="T56" s="60"/>
      <c r="U56" s="60"/>
      <c r="V56" s="60"/>
      <c r="W56" s="60"/>
      <c r="X56" s="62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Z56" s="7"/>
    </row>
    <row r="57" spans="8:52" ht="15">
      <c r="H57" s="57"/>
      <c r="I57" s="29"/>
      <c r="J57" s="29"/>
      <c r="K57" s="58"/>
      <c r="L57" s="29"/>
      <c r="M57" s="29"/>
      <c r="N57" s="29"/>
      <c r="O57" s="29"/>
      <c r="P57" s="60"/>
      <c r="Q57" s="60"/>
      <c r="R57" s="60"/>
      <c r="S57" s="61"/>
      <c r="T57" s="60"/>
      <c r="U57" s="60"/>
      <c r="V57" s="60"/>
      <c r="W57" s="60"/>
      <c r="X57" s="62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Z57" s="7"/>
    </row>
    <row r="58" spans="8:52" ht="15">
      <c r="H58" s="57"/>
      <c r="I58" s="29"/>
      <c r="J58" s="29"/>
      <c r="K58" s="58"/>
      <c r="L58" s="29"/>
      <c r="M58" s="29"/>
      <c r="N58" s="29"/>
      <c r="O58" s="29"/>
      <c r="P58" s="60"/>
      <c r="Q58" s="60"/>
      <c r="R58" s="60"/>
      <c r="S58" s="61"/>
      <c r="T58" s="60"/>
      <c r="U58" s="60"/>
      <c r="V58" s="60"/>
      <c r="W58" s="60"/>
      <c r="X58" s="62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Z58" s="7"/>
    </row>
    <row r="59" spans="2:39" s="9" customFormat="1" ht="15">
      <c r="B59" s="65"/>
      <c r="C59" s="65"/>
      <c r="H59" s="157"/>
      <c r="I59" s="63"/>
      <c r="J59" s="63"/>
      <c r="K59" s="58"/>
      <c r="L59" s="63"/>
      <c r="M59" s="63"/>
      <c r="N59" s="63"/>
      <c r="O59" s="63"/>
      <c r="P59" s="60"/>
      <c r="Q59" s="60"/>
      <c r="R59" s="60"/>
      <c r="S59" s="61"/>
      <c r="T59" s="60"/>
      <c r="U59" s="60"/>
      <c r="V59" s="60"/>
      <c r="W59" s="60"/>
      <c r="X59" s="62"/>
      <c r="Y59" s="63"/>
      <c r="Z59" s="63"/>
      <c r="AA59" s="63"/>
      <c r="AB59" s="63"/>
      <c r="AC59" s="29"/>
      <c r="AD59" s="29"/>
      <c r="AE59" s="29"/>
      <c r="AF59" s="63"/>
      <c r="AG59" s="63"/>
      <c r="AH59" s="63"/>
      <c r="AI59" s="63"/>
      <c r="AJ59" s="63"/>
      <c r="AK59" s="63"/>
      <c r="AL59" s="63"/>
      <c r="AM59" s="63"/>
    </row>
    <row r="60" spans="8:52" ht="15">
      <c r="H60" s="57"/>
      <c r="I60" s="29"/>
      <c r="J60" s="29"/>
      <c r="K60" s="58"/>
      <c r="L60" s="29"/>
      <c r="M60" s="29"/>
      <c r="N60" s="29"/>
      <c r="O60" s="29"/>
      <c r="P60" s="60"/>
      <c r="Q60" s="60"/>
      <c r="R60" s="60"/>
      <c r="S60" s="61"/>
      <c r="T60" s="60"/>
      <c r="U60" s="60"/>
      <c r="V60" s="60"/>
      <c r="W60" s="60"/>
      <c r="X60" s="62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Z60" s="7"/>
    </row>
    <row r="61" spans="8:52" ht="15">
      <c r="H61" s="57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158"/>
      <c r="T61" s="29"/>
      <c r="U61" s="29"/>
      <c r="V61" s="29"/>
      <c r="W61" s="29"/>
      <c r="X61" s="15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Z61" s="7"/>
    </row>
    <row r="62" spans="8:52" ht="15">
      <c r="H62" s="57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158"/>
      <c r="T62" s="29"/>
      <c r="U62" s="29"/>
      <c r="V62" s="29"/>
      <c r="W62" s="29"/>
      <c r="X62" s="15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Z62" s="7"/>
    </row>
    <row r="63" spans="8:52" ht="15">
      <c r="H63" s="57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58"/>
      <c r="T63" s="29"/>
      <c r="U63" s="29"/>
      <c r="V63" s="29"/>
      <c r="W63" s="29"/>
      <c r="X63" s="15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Z63" s="7"/>
    </row>
    <row r="64" spans="8:52" ht="15">
      <c r="H64" s="57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158"/>
      <c r="T64" s="29"/>
      <c r="U64" s="29"/>
      <c r="V64" s="29"/>
      <c r="W64" s="29"/>
      <c r="X64" s="15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Z64" s="7"/>
    </row>
    <row r="65" spans="8:52" ht="15">
      <c r="H65" s="57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58"/>
      <c r="T65" s="29"/>
      <c r="U65" s="29"/>
      <c r="V65" s="29"/>
      <c r="W65" s="29"/>
      <c r="X65" s="15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Z65" s="7"/>
    </row>
    <row r="66" spans="8:52" ht="15">
      <c r="H66" s="57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158"/>
      <c r="T66" s="29"/>
      <c r="U66" s="29"/>
      <c r="V66" s="29"/>
      <c r="W66" s="29"/>
      <c r="X66" s="15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Z66" s="7"/>
    </row>
    <row r="67" spans="13:52" ht="15">
      <c r="M67" s="7"/>
      <c r="N67" s="7"/>
      <c r="O67" s="7"/>
      <c r="AF67" s="7"/>
      <c r="AG67" s="7"/>
      <c r="AH67" s="7"/>
      <c r="AI67" s="7"/>
      <c r="AZ67" s="7"/>
    </row>
    <row r="68" spans="13:52" ht="15">
      <c r="M68" s="7"/>
      <c r="N68" s="7"/>
      <c r="O68" s="7"/>
      <c r="AF68" s="7"/>
      <c r="AG68" s="7"/>
      <c r="AH68" s="7"/>
      <c r="AI68" s="7"/>
      <c r="AZ68" s="7"/>
    </row>
    <row r="69" spans="13:52" ht="15">
      <c r="M69" s="7"/>
      <c r="N69" s="7"/>
      <c r="O69" s="7"/>
      <c r="AF69" s="7"/>
      <c r="AG69" s="7"/>
      <c r="AH69" s="7"/>
      <c r="AI69" s="7"/>
      <c r="AZ69" s="7"/>
    </row>
    <row r="70" spans="13:52" ht="15">
      <c r="M70" s="7"/>
      <c r="N70" s="7"/>
      <c r="O70" s="7"/>
      <c r="AF70" s="7"/>
      <c r="AG70" s="7"/>
      <c r="AH70" s="7"/>
      <c r="AI70" s="7"/>
      <c r="AZ70" s="7"/>
    </row>
    <row r="71" spans="13:52" ht="15">
      <c r="M71" s="7"/>
      <c r="N71" s="7"/>
      <c r="O71" s="7"/>
      <c r="AF71" s="7"/>
      <c r="AG71" s="7"/>
      <c r="AH71" s="7"/>
      <c r="AI71" s="7"/>
      <c r="AZ71" s="7"/>
    </row>
    <row r="72" spans="13:52" ht="15">
      <c r="M72" s="7"/>
      <c r="N72" s="7"/>
      <c r="O72" s="7"/>
      <c r="AF72" s="7"/>
      <c r="AG72" s="7"/>
      <c r="AH72" s="7"/>
      <c r="AI72" s="7"/>
      <c r="AZ72" s="7"/>
    </row>
    <row r="73" spans="13:52" ht="15">
      <c r="M73" s="7"/>
      <c r="N73" s="7"/>
      <c r="O73" s="7"/>
      <c r="AF73" s="7"/>
      <c r="AG73" s="7"/>
      <c r="AH73" s="7"/>
      <c r="AI73" s="7"/>
      <c r="AZ73" s="7"/>
    </row>
    <row r="74" spans="13:52" ht="15">
      <c r="M74" s="7"/>
      <c r="N74" s="7"/>
      <c r="O74" s="7"/>
      <c r="AF74" s="7"/>
      <c r="AG74" s="7"/>
      <c r="AH74" s="7"/>
      <c r="AI74" s="7"/>
      <c r="AZ74" s="7"/>
    </row>
    <row r="75" spans="13:52" ht="15">
      <c r="M75" s="7"/>
      <c r="N75" s="7"/>
      <c r="O75" s="7"/>
      <c r="AF75" s="7"/>
      <c r="AG75" s="7"/>
      <c r="AH75" s="7"/>
      <c r="AI75" s="7"/>
      <c r="AZ75" s="7"/>
    </row>
    <row r="76" spans="13:52" ht="15">
      <c r="M76" s="7"/>
      <c r="N76" s="7"/>
      <c r="O76" s="7"/>
      <c r="AF76" s="7"/>
      <c r="AG76" s="7"/>
      <c r="AH76" s="7"/>
      <c r="AI76" s="7"/>
      <c r="AZ76" s="7"/>
    </row>
    <row r="77" spans="13:52" ht="15">
      <c r="M77" s="7"/>
      <c r="N77" s="7"/>
      <c r="O77" s="7"/>
      <c r="AF77" s="7"/>
      <c r="AG77" s="7"/>
      <c r="AH77" s="7"/>
      <c r="AI77" s="7"/>
      <c r="AZ77" s="7"/>
    </row>
    <row r="78" spans="13:52" ht="15">
      <c r="M78" s="7"/>
      <c r="N78" s="7"/>
      <c r="O78" s="7"/>
      <c r="AF78" s="7"/>
      <c r="AG78" s="7"/>
      <c r="AH78" s="7"/>
      <c r="AI78" s="7"/>
      <c r="AZ78" s="7"/>
    </row>
    <row r="79" spans="13:52" ht="15">
      <c r="M79" s="7"/>
      <c r="N79" s="7"/>
      <c r="O79" s="7"/>
      <c r="AF79" s="7"/>
      <c r="AG79" s="7"/>
      <c r="AH79" s="7"/>
      <c r="AI79" s="7"/>
      <c r="AZ79" s="7"/>
    </row>
  </sheetData>
  <mergeCells count="17">
    <mergeCell ref="AU10:AX10"/>
    <mergeCell ref="G21:G29"/>
    <mergeCell ref="W8:AD8"/>
    <mergeCell ref="AF8:AI8"/>
    <mergeCell ref="AK8:AK9"/>
    <mergeCell ref="A9:O9"/>
    <mergeCell ref="P9:T9"/>
    <mergeCell ref="W9:X9"/>
    <mergeCell ref="AB9:AD9"/>
    <mergeCell ref="AF9:AH9"/>
    <mergeCell ref="AI9:AJ9"/>
    <mergeCell ref="P8:U8"/>
    <mergeCell ref="A1:H1"/>
    <mergeCell ref="A2:H2"/>
    <mergeCell ref="A3:H3"/>
    <mergeCell ref="G6:H6"/>
    <mergeCell ref="G8:H8"/>
  </mergeCells>
  <dataValidations count="2">
    <dataValidation type="list" allowBlank="1" showInputMessage="1" showErrorMessage="1" sqref="L12:L17">
      <formula1>'3-3 Load Table'!$D$1:$D$11</formula1>
    </dataValidation>
    <dataValidation type="list" allowBlank="1" showInputMessage="1" showErrorMessage="1" sqref="G12:G17">
      <formula1>'3-3 Load Table'!$A$1:$A$12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D30" sqref="D30"/>
    </sheetView>
  </sheetViews>
  <sheetFormatPr defaultColWidth="8.8515625" defaultRowHeight="15"/>
  <cols>
    <col min="1" max="1" width="24.28125" style="0" bestFit="1" customWidth="1"/>
    <col min="2" max="2" width="24.28125" style="0" customWidth="1"/>
    <col min="3" max="3" width="14.7109375" style="0" bestFit="1" customWidth="1"/>
    <col min="4" max="5" width="14.7109375" style="0" customWidth="1"/>
    <col min="6" max="6" width="20.00390625" style="0" bestFit="1" customWidth="1"/>
    <col min="8" max="8" width="29.00390625" style="0" bestFit="1" customWidth="1"/>
  </cols>
  <sheetData>
    <row r="1" spans="1:8" ht="15.75" thickBot="1">
      <c r="A1" s="84" t="s">
        <v>15</v>
      </c>
      <c r="B1" s="84" t="s">
        <v>18</v>
      </c>
      <c r="C1" s="84" t="s">
        <v>72</v>
      </c>
      <c r="D1" s="107" t="s">
        <v>85</v>
      </c>
      <c r="E1" s="84" t="s">
        <v>86</v>
      </c>
      <c r="F1" s="106" t="s">
        <v>54</v>
      </c>
      <c r="G1" s="34">
        <v>0.2871</v>
      </c>
      <c r="H1" s="35" t="s">
        <v>55</v>
      </c>
    </row>
    <row r="2" spans="1:8" ht="15">
      <c r="A2" s="77" t="s">
        <v>89</v>
      </c>
      <c r="B2" s="79" t="s">
        <v>87</v>
      </c>
      <c r="C2" s="77">
        <v>1</v>
      </c>
      <c r="D2" s="108" t="s">
        <v>48</v>
      </c>
      <c r="E2" s="77">
        <v>0.025</v>
      </c>
      <c r="F2" s="102" t="s">
        <v>54</v>
      </c>
      <c r="G2" s="38">
        <v>0.0668</v>
      </c>
      <c r="H2" s="39" t="s">
        <v>57</v>
      </c>
    </row>
    <row r="3" spans="1:8" ht="15">
      <c r="A3" s="77" t="s">
        <v>91</v>
      </c>
      <c r="B3" s="79" t="s">
        <v>88</v>
      </c>
      <c r="C3" s="77">
        <v>1</v>
      </c>
      <c r="D3" s="108" t="s">
        <v>49</v>
      </c>
      <c r="E3" s="77">
        <v>0.025</v>
      </c>
      <c r="F3" s="102" t="s">
        <v>54</v>
      </c>
      <c r="G3" s="38">
        <v>0.0626</v>
      </c>
      <c r="H3" s="39" t="s">
        <v>59</v>
      </c>
    </row>
    <row r="4" spans="1:8" ht="15">
      <c r="A4" s="77" t="s">
        <v>92</v>
      </c>
      <c r="B4" s="79" t="s">
        <v>90</v>
      </c>
      <c r="C4" s="77">
        <v>1</v>
      </c>
      <c r="D4" s="108" t="s">
        <v>75</v>
      </c>
      <c r="E4" s="77">
        <v>0.025</v>
      </c>
      <c r="F4" s="102" t="s">
        <v>54</v>
      </c>
      <c r="G4" s="38">
        <v>0.002</v>
      </c>
      <c r="H4" s="39" t="s">
        <v>61</v>
      </c>
    </row>
    <row r="5" spans="1:8" ht="15">
      <c r="A5" s="77" t="s">
        <v>45</v>
      </c>
      <c r="B5" s="80">
        <v>70311</v>
      </c>
      <c r="C5" s="77">
        <v>2</v>
      </c>
      <c r="D5" s="108" t="s">
        <v>47</v>
      </c>
      <c r="E5" s="77">
        <v>0.025</v>
      </c>
      <c r="F5" s="102" t="s">
        <v>54</v>
      </c>
      <c r="G5" s="38">
        <v>0.0626</v>
      </c>
      <c r="H5" s="39" t="s">
        <v>62</v>
      </c>
    </row>
    <row r="6" spans="1:8" ht="15">
      <c r="A6" s="77" t="s">
        <v>42</v>
      </c>
      <c r="B6" s="80">
        <v>40000</v>
      </c>
      <c r="C6" s="77">
        <v>1</v>
      </c>
      <c r="D6" s="108" t="s">
        <v>78</v>
      </c>
      <c r="E6" s="77">
        <v>0.025</v>
      </c>
      <c r="F6" s="102" t="s">
        <v>54</v>
      </c>
      <c r="G6" s="38">
        <v>0.1624</v>
      </c>
      <c r="H6" s="39" t="s">
        <v>63</v>
      </c>
    </row>
    <row r="7" spans="1:8" ht="15">
      <c r="A7" s="83" t="s">
        <v>46</v>
      </c>
      <c r="B7" s="80">
        <v>40000</v>
      </c>
      <c r="C7" s="77">
        <v>1</v>
      </c>
      <c r="D7" s="108" t="s">
        <v>77</v>
      </c>
      <c r="E7" s="77">
        <v>0.025</v>
      </c>
      <c r="F7" s="102" t="s">
        <v>54</v>
      </c>
      <c r="G7" s="44">
        <v>240.12</v>
      </c>
      <c r="H7" s="45" t="s">
        <v>64</v>
      </c>
    </row>
    <row r="8" spans="1:8" ht="15.75" thickBot="1">
      <c r="A8" s="83" t="s">
        <v>84</v>
      </c>
      <c r="B8" s="80">
        <v>39550</v>
      </c>
      <c r="C8" s="77">
        <v>1</v>
      </c>
      <c r="D8" s="108" t="s">
        <v>76</v>
      </c>
      <c r="E8" s="77">
        <v>0.025</v>
      </c>
      <c r="F8" s="103" t="s">
        <v>54</v>
      </c>
      <c r="G8" s="47">
        <v>409.94</v>
      </c>
      <c r="H8" s="48" t="s">
        <v>65</v>
      </c>
    </row>
    <row r="9" spans="1:8" ht="15">
      <c r="A9" s="77" t="s">
        <v>71</v>
      </c>
      <c r="B9" s="80">
        <v>32000</v>
      </c>
      <c r="C9" s="77">
        <v>1</v>
      </c>
      <c r="D9" s="108" t="s">
        <v>74</v>
      </c>
      <c r="E9" s="77">
        <v>0.025</v>
      </c>
      <c r="H9" s="104"/>
    </row>
    <row r="10" spans="1:8" ht="15">
      <c r="A10" s="83" t="s">
        <v>73</v>
      </c>
      <c r="B10" s="81">
        <v>62424</v>
      </c>
      <c r="C10" s="77">
        <v>1</v>
      </c>
      <c r="D10" s="108" t="s">
        <v>50</v>
      </c>
      <c r="E10" s="77">
        <v>0.025</v>
      </c>
      <c r="H10" s="104"/>
    </row>
    <row r="11" spans="1:8" ht="15.75" thickBot="1">
      <c r="A11" s="77" t="s">
        <v>43</v>
      </c>
      <c r="B11" s="80">
        <v>43621</v>
      </c>
      <c r="C11" s="77">
        <v>1</v>
      </c>
      <c r="D11" s="109" t="s">
        <v>51</v>
      </c>
      <c r="E11" s="78">
        <v>0.04</v>
      </c>
      <c r="H11" s="104"/>
    </row>
    <row r="12" spans="1:5" ht="15.75" thickBot="1">
      <c r="A12" s="78" t="s">
        <v>44</v>
      </c>
      <c r="B12" s="82">
        <v>91800</v>
      </c>
      <c r="C12" s="78">
        <v>1</v>
      </c>
      <c r="D12" s="104"/>
      <c r="E12" s="104"/>
    </row>
    <row r="13" spans="1:5" ht="15">
      <c r="A13" s="104"/>
      <c r="B13" s="105"/>
      <c r="C13" s="104"/>
      <c r="D13" s="104"/>
      <c r="E13" s="104"/>
    </row>
    <row r="14" spans="1:5" ht="15">
      <c r="A14" s="104"/>
      <c r="B14" s="105"/>
      <c r="C14" s="104"/>
      <c r="D14" s="104"/>
      <c r="E14" s="104"/>
    </row>
    <row r="15" spans="1:5" ht="15">
      <c r="A15" s="104"/>
      <c r="B15" s="105"/>
      <c r="C15" s="104"/>
      <c r="D15" s="104"/>
      <c r="E15" s="104"/>
    </row>
    <row r="16" spans="1:5" ht="15">
      <c r="A16" s="104"/>
      <c r="B16" s="105"/>
      <c r="C16" s="104"/>
      <c r="D16" s="104"/>
      <c r="E16" s="104"/>
    </row>
    <row r="17" spans="1:3" ht="15">
      <c r="A17" s="104"/>
      <c r="B17" s="105"/>
      <c r="C17" s="104"/>
    </row>
    <row r="18" spans="1:19" ht="15.75">
      <c r="A18" s="104"/>
      <c r="B18" s="105"/>
      <c r="C18" s="10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  <c r="R18" s="32"/>
      <c r="S18" s="32"/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4:19" ht="15.7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"/>
      <c r="P20" s="1"/>
      <c r="Q20" s="33"/>
      <c r="R20" s="1"/>
      <c r="S20" s="1"/>
    </row>
    <row r="21" spans="1:19" ht="15.75">
      <c r="A21" s="31" t="s">
        <v>53</v>
      </c>
      <c r="B21" s="31"/>
      <c r="C21" s="31"/>
      <c r="D21" s="43"/>
      <c r="E21" s="43"/>
      <c r="F21" s="43"/>
      <c r="G21" s="43"/>
      <c r="H21" s="43"/>
      <c r="I21" s="43"/>
      <c r="J21" s="43"/>
      <c r="K21" s="43"/>
      <c r="L21" s="2"/>
      <c r="M21" s="1"/>
      <c r="N21" s="1"/>
      <c r="O21" s="1"/>
      <c r="P21" s="1"/>
      <c r="Q21" s="33"/>
      <c r="R21" s="1"/>
      <c r="S21" s="1"/>
    </row>
    <row r="22" spans="1:3" ht="15">
      <c r="A22" s="31" t="s">
        <v>56</v>
      </c>
      <c r="B22" s="31"/>
      <c r="C22" s="31"/>
    </row>
    <row r="23" spans="1:3" ht="15">
      <c r="A23" s="31" t="s">
        <v>58</v>
      </c>
      <c r="B23" s="31"/>
      <c r="C23" s="31"/>
    </row>
    <row r="24" spans="1:3" ht="15">
      <c r="A24" s="42" t="s">
        <v>60</v>
      </c>
      <c r="B24" s="43"/>
      <c r="C24" s="43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9"/>
  <sheetViews>
    <sheetView workbookViewId="0" topLeftCell="A1">
      <pane xSplit="7" ySplit="11" topLeftCell="AF1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D30" sqref="D30"/>
    </sheetView>
  </sheetViews>
  <sheetFormatPr defaultColWidth="8.8515625" defaultRowHeight="15"/>
  <cols>
    <col min="1" max="1" width="9.140625" style="7" customWidth="1"/>
    <col min="2" max="2" width="7.421875" style="49" bestFit="1" customWidth="1"/>
    <col min="3" max="3" width="9.140625" style="49" customWidth="1"/>
    <col min="4" max="4" width="34.7109375" style="7" customWidth="1"/>
    <col min="5" max="5" width="8.8515625" style="7" customWidth="1"/>
    <col min="6" max="6" width="9.140625" style="7" customWidth="1"/>
    <col min="7" max="7" width="34.28125" style="7" bestFit="1" customWidth="1"/>
    <col min="8" max="8" width="9.140625" style="49" customWidth="1"/>
    <col min="9" max="9" width="11.28125" style="7" customWidth="1"/>
    <col min="10" max="10" width="11.8515625" style="7" customWidth="1"/>
    <col min="11" max="11" width="12.421875" style="7" bestFit="1" customWidth="1"/>
    <col min="12" max="12" width="12.421875" style="7" customWidth="1"/>
    <col min="13" max="13" width="12.421875" style="6" customWidth="1"/>
    <col min="14" max="14" width="10.28125" style="6" customWidth="1"/>
    <col min="15" max="15" width="11.421875" style="6" bestFit="1" customWidth="1"/>
    <col min="16" max="17" width="11.421875" style="7" bestFit="1" customWidth="1"/>
    <col min="18" max="18" width="15.00390625" style="7" customWidth="1"/>
    <col min="19" max="19" width="12.421875" style="36" bestFit="1" customWidth="1"/>
    <col min="20" max="20" width="14.8515625" style="7" bestFit="1" customWidth="1"/>
    <col min="21" max="21" width="15.00390625" style="7" customWidth="1"/>
    <col min="22" max="22" width="4.421875" style="7" customWidth="1"/>
    <col min="23" max="23" width="11.421875" style="7" bestFit="1" customWidth="1"/>
    <col min="24" max="24" width="11.28125" style="50" bestFit="1" customWidth="1"/>
    <col min="25" max="25" width="15.00390625" style="7" bestFit="1" customWidth="1"/>
    <col min="26" max="27" width="11.421875" style="7" bestFit="1" customWidth="1"/>
    <col min="28" max="28" width="10.421875" style="7" bestFit="1" customWidth="1"/>
    <col min="29" max="29" width="8.8515625" style="7" bestFit="1" customWidth="1"/>
    <col min="30" max="30" width="11.421875" style="7" bestFit="1" customWidth="1"/>
    <col min="31" max="31" width="4.421875" style="7" customWidth="1"/>
    <col min="32" max="32" width="11.421875" style="66" bestFit="1" customWidth="1"/>
    <col min="33" max="33" width="10.421875" style="36" bestFit="1" customWidth="1"/>
    <col min="34" max="34" width="11.421875" style="66" bestFit="1" customWidth="1"/>
    <col min="35" max="35" width="11.8515625" style="66" customWidth="1"/>
    <col min="36" max="36" width="15.28125" style="7" bestFit="1" customWidth="1"/>
    <col min="37" max="37" width="11.8515625" style="7" customWidth="1"/>
    <col min="38" max="38" width="16.421875" style="7" bestFit="1" customWidth="1"/>
    <col min="39" max="47" width="11.8515625" style="7" customWidth="1"/>
    <col min="48" max="48" width="8.8515625" style="7" customWidth="1"/>
    <col min="49" max="51" width="9.140625" style="7" customWidth="1"/>
    <col min="52" max="52" width="9.140625" style="37" customWidth="1"/>
    <col min="53" max="16384" width="8.8515625" style="7" customWidth="1"/>
  </cols>
  <sheetData>
    <row r="1" spans="1:51" ht="15.75">
      <c r="A1" s="217" t="s">
        <v>52</v>
      </c>
      <c r="B1" s="217"/>
      <c r="C1" s="217"/>
      <c r="D1" s="217"/>
      <c r="E1" s="217"/>
      <c r="F1" s="217"/>
      <c r="G1" s="217"/>
      <c r="H1" s="217"/>
      <c r="AA1" s="1"/>
      <c r="AB1" s="1"/>
      <c r="AF1" s="3"/>
      <c r="AG1" s="2"/>
      <c r="AH1" s="3"/>
      <c r="AI1" s="3"/>
      <c r="AK1" s="1"/>
      <c r="AL1" s="1"/>
      <c r="AM1" s="1"/>
      <c r="AN1" s="1"/>
      <c r="AO1" s="1"/>
      <c r="AP1" s="1"/>
      <c r="AQ1" s="1"/>
      <c r="AR1" s="1"/>
      <c r="AS1" s="4"/>
      <c r="AT1" s="4"/>
      <c r="AU1" s="4"/>
      <c r="AW1" s="36"/>
      <c r="AX1" s="36"/>
      <c r="AY1" s="36"/>
    </row>
    <row r="2" spans="1:51" ht="15.75">
      <c r="A2" s="224" t="s">
        <v>99</v>
      </c>
      <c r="B2" s="224"/>
      <c r="C2" s="224"/>
      <c r="D2" s="224"/>
      <c r="E2" s="224"/>
      <c r="F2" s="224"/>
      <c r="G2" s="224"/>
      <c r="H2" s="224"/>
      <c r="AA2" s="1"/>
      <c r="AB2" s="1"/>
      <c r="AF2" s="3"/>
      <c r="AG2" s="2"/>
      <c r="AH2" s="3"/>
      <c r="AI2" s="3"/>
      <c r="AK2" s="1"/>
      <c r="AL2" s="1"/>
      <c r="AM2" s="1"/>
      <c r="AN2" s="1"/>
      <c r="AO2" s="1"/>
      <c r="AP2" s="1"/>
      <c r="AQ2" s="1"/>
      <c r="AR2" s="1"/>
      <c r="AS2" s="4"/>
      <c r="AT2" s="4"/>
      <c r="AU2" s="4"/>
      <c r="AW2" s="36"/>
      <c r="AX2" s="36"/>
      <c r="AY2" s="36"/>
    </row>
    <row r="3" spans="1:51" ht="18.75">
      <c r="A3" s="225"/>
      <c r="B3" s="225"/>
      <c r="C3" s="225"/>
      <c r="D3" s="225"/>
      <c r="E3" s="225"/>
      <c r="F3" s="225"/>
      <c r="G3" s="225"/>
      <c r="H3" s="225"/>
      <c r="AA3" s="1"/>
      <c r="AB3" s="1"/>
      <c r="AF3" s="3"/>
      <c r="AG3" s="2"/>
      <c r="AH3" s="3"/>
      <c r="AI3" s="3"/>
      <c r="AK3" s="1"/>
      <c r="AL3" s="1"/>
      <c r="AM3" s="1"/>
      <c r="AN3" s="1"/>
      <c r="AO3" s="1"/>
      <c r="AP3" s="1"/>
      <c r="AQ3" s="1"/>
      <c r="AR3" s="1"/>
      <c r="AS3" s="40"/>
      <c r="AT3" s="40"/>
      <c r="AU3" s="40"/>
      <c r="AW3" s="36"/>
      <c r="AX3" s="36"/>
      <c r="AY3" s="36"/>
    </row>
    <row r="4" spans="1:51" ht="15.75">
      <c r="A4" s="155"/>
      <c r="B4" s="155"/>
      <c r="C4" s="155"/>
      <c r="D4" s="155"/>
      <c r="E4" s="155"/>
      <c r="F4" s="155"/>
      <c r="G4" s="155"/>
      <c r="H4" s="155"/>
      <c r="AA4" s="1"/>
      <c r="AB4" s="1"/>
      <c r="AF4" s="3"/>
      <c r="AG4" s="2"/>
      <c r="AH4" s="3"/>
      <c r="AI4" s="3"/>
      <c r="AK4" s="1"/>
      <c r="AL4" s="1"/>
      <c r="AM4" s="1"/>
      <c r="AN4" s="1"/>
      <c r="AO4" s="1"/>
      <c r="AP4" s="1"/>
      <c r="AQ4" s="1"/>
      <c r="AR4" s="1"/>
      <c r="AS4" s="40"/>
      <c r="AT4" s="40"/>
      <c r="AU4" s="40"/>
      <c r="AW4" s="36"/>
      <c r="AX4" s="36"/>
      <c r="AY4" s="36"/>
    </row>
    <row r="5" spans="1:51" ht="16.5" thickBot="1">
      <c r="A5" s="30"/>
      <c r="B5" s="46"/>
      <c r="C5" s="46"/>
      <c r="D5" s="1"/>
      <c r="E5" s="1"/>
      <c r="F5" s="1"/>
      <c r="G5" s="1"/>
      <c r="H5" s="46"/>
      <c r="I5" s="1"/>
      <c r="J5" s="4"/>
      <c r="K5" s="4"/>
      <c r="L5" s="4"/>
      <c r="M5" s="10"/>
      <c r="N5" s="10"/>
      <c r="O5" s="10"/>
      <c r="P5" s="4"/>
      <c r="Q5" s="1"/>
      <c r="R5" s="1"/>
      <c r="S5" s="2"/>
      <c r="T5" s="1"/>
      <c r="U5" s="1"/>
      <c r="V5" s="1"/>
      <c r="W5" s="1"/>
      <c r="X5" s="33"/>
      <c r="Y5" s="1"/>
      <c r="Z5" s="1"/>
      <c r="AA5" s="1"/>
      <c r="AF5" s="7"/>
      <c r="AG5" s="7"/>
      <c r="AH5" s="7"/>
      <c r="AI5" s="7"/>
      <c r="AW5" s="36"/>
      <c r="AX5" s="36"/>
      <c r="AY5" s="36"/>
    </row>
    <row r="6" spans="7:52" ht="15.75" customHeight="1" thickBot="1">
      <c r="G6" s="218" t="s">
        <v>80</v>
      </c>
      <c r="H6" s="219"/>
      <c r="I6" s="86" t="s">
        <v>101</v>
      </c>
      <c r="J6" s="92" t="s">
        <v>100</v>
      </c>
      <c r="K6" s="4"/>
      <c r="L6" s="10"/>
      <c r="M6" s="10"/>
      <c r="N6" s="10"/>
      <c r="O6" s="4"/>
      <c r="P6" s="1"/>
      <c r="Q6" s="1"/>
      <c r="R6" s="2"/>
      <c r="S6" s="1"/>
      <c r="T6" s="1"/>
      <c r="U6" s="1"/>
      <c r="V6" s="1"/>
      <c r="W6" s="33"/>
      <c r="X6" s="1"/>
      <c r="Y6" s="1"/>
      <c r="Z6" s="1"/>
      <c r="AB6"/>
      <c r="AC6"/>
      <c r="AD6"/>
      <c r="AF6" s="7"/>
      <c r="AG6" s="7"/>
      <c r="AH6" s="7"/>
      <c r="AI6" s="7"/>
      <c r="AV6" s="36"/>
      <c r="AW6" s="36"/>
      <c r="AX6" s="36"/>
      <c r="AY6" s="37"/>
      <c r="AZ6" s="7"/>
    </row>
    <row r="7" spans="9:51" ht="16.5" thickBot="1">
      <c r="I7" s="1"/>
      <c r="J7" s="4"/>
      <c r="K7"/>
      <c r="L7" s="4"/>
      <c r="M7" s="10"/>
      <c r="N7" s="10"/>
      <c r="O7" s="10"/>
      <c r="P7" s="4"/>
      <c r="Q7" s="1"/>
      <c r="R7" s="1"/>
      <c r="S7" s="2"/>
      <c r="T7" s="1"/>
      <c r="U7" s="1"/>
      <c r="V7" s="1"/>
      <c r="W7" s="1"/>
      <c r="X7" s="33"/>
      <c r="Y7" s="1"/>
      <c r="Z7" s="1"/>
      <c r="AA7" s="1"/>
      <c r="AC7"/>
      <c r="AD7"/>
      <c r="AE7"/>
      <c r="AF7" s="7"/>
      <c r="AG7" s="7"/>
      <c r="AH7" s="7"/>
      <c r="AI7" s="7"/>
      <c r="AW7" s="36"/>
      <c r="AX7" s="36"/>
      <c r="AY7" s="36"/>
    </row>
    <row r="8" spans="7:51" ht="15" customHeight="1" thickBot="1">
      <c r="G8" s="235" t="s">
        <v>79</v>
      </c>
      <c r="H8" s="236"/>
      <c r="I8" s="85">
        <v>20</v>
      </c>
      <c r="J8" s="92" t="s">
        <v>81</v>
      </c>
      <c r="K8"/>
      <c r="P8" s="231"/>
      <c r="Q8" s="231"/>
      <c r="R8" s="231"/>
      <c r="S8" s="231"/>
      <c r="T8" s="231"/>
      <c r="U8" s="231"/>
      <c r="V8"/>
      <c r="W8" s="230"/>
      <c r="X8" s="230"/>
      <c r="Y8" s="230"/>
      <c r="Z8" s="230"/>
      <c r="AA8" s="230"/>
      <c r="AB8" s="230"/>
      <c r="AC8" s="230"/>
      <c r="AD8" s="230"/>
      <c r="AE8"/>
      <c r="AF8" s="241" t="s">
        <v>2</v>
      </c>
      <c r="AG8" s="241"/>
      <c r="AH8" s="241"/>
      <c r="AI8" s="241"/>
      <c r="AJ8" s="13" t="s">
        <v>3</v>
      </c>
      <c r="AK8" s="220"/>
      <c r="AL8" s="14" t="s">
        <v>4</v>
      </c>
      <c r="AW8" s="36"/>
      <c r="AX8" s="36"/>
      <c r="AY8" s="36"/>
    </row>
    <row r="9" spans="1:52" s="68" customFormat="1" ht="33" customHeight="1" thickBo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232" t="s">
        <v>5</v>
      </c>
      <c r="Q9" s="233"/>
      <c r="R9" s="233"/>
      <c r="S9" s="233"/>
      <c r="T9" s="234"/>
      <c r="U9" s="69"/>
      <c r="V9" s="110"/>
      <c r="W9" s="226"/>
      <c r="X9" s="227"/>
      <c r="Y9" s="126">
        <v>0.2</v>
      </c>
      <c r="Z9" s="130">
        <v>0.5</v>
      </c>
      <c r="AA9" s="128">
        <v>0.3</v>
      </c>
      <c r="AB9" s="222"/>
      <c r="AC9" s="223"/>
      <c r="AD9" s="223"/>
      <c r="AE9" s="110"/>
      <c r="AF9" s="242" t="s">
        <v>6</v>
      </c>
      <c r="AG9" s="243"/>
      <c r="AH9" s="244"/>
      <c r="AI9" s="242" t="s">
        <v>7</v>
      </c>
      <c r="AJ9" s="244"/>
      <c r="AK9" s="221"/>
      <c r="AL9" s="70" t="s">
        <v>8</v>
      </c>
      <c r="AW9" s="71"/>
      <c r="AX9" s="71"/>
      <c r="AY9" s="71"/>
      <c r="AZ9" s="72"/>
    </row>
    <row r="10" spans="1:50" s="6" customFormat="1" ht="50.1" customHeight="1" thickBo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13</v>
      </c>
      <c r="F10" s="74" t="s">
        <v>14</v>
      </c>
      <c r="G10" s="91" t="s">
        <v>96</v>
      </c>
      <c r="H10" s="89" t="s">
        <v>16</v>
      </c>
      <c r="I10" s="16" t="s">
        <v>1</v>
      </c>
      <c r="J10" s="16" t="s">
        <v>66</v>
      </c>
      <c r="K10" s="74" t="s">
        <v>67</v>
      </c>
      <c r="L10" s="138" t="s">
        <v>68</v>
      </c>
      <c r="M10" s="137" t="s">
        <v>17</v>
      </c>
      <c r="N10" s="51" t="s">
        <v>69</v>
      </c>
      <c r="O10" s="51" t="s">
        <v>70</v>
      </c>
      <c r="P10" s="73" t="s">
        <v>18</v>
      </c>
      <c r="Q10" s="73" t="s">
        <v>19</v>
      </c>
      <c r="R10" s="73" t="s">
        <v>20</v>
      </c>
      <c r="S10" s="18" t="s">
        <v>21</v>
      </c>
      <c r="T10" s="18" t="s">
        <v>22</v>
      </c>
      <c r="U10" s="19" t="s">
        <v>23</v>
      </c>
      <c r="V10" s="110"/>
      <c r="W10" s="20" t="s">
        <v>24</v>
      </c>
      <c r="X10" s="21" t="s">
        <v>25</v>
      </c>
      <c r="Y10" s="127" t="s">
        <v>26</v>
      </c>
      <c r="Z10" s="131" t="s">
        <v>27</v>
      </c>
      <c r="AA10" s="129" t="s">
        <v>4</v>
      </c>
      <c r="AB10" s="20" t="s">
        <v>28</v>
      </c>
      <c r="AC10" s="22" t="s">
        <v>29</v>
      </c>
      <c r="AD10" s="23" t="s">
        <v>30</v>
      </c>
      <c r="AE10" s="110"/>
      <c r="AF10" s="17" t="s">
        <v>18</v>
      </c>
      <c r="AG10" s="17" t="s">
        <v>19</v>
      </c>
      <c r="AH10" s="17" t="s">
        <v>20</v>
      </c>
      <c r="AI10" s="17" t="s">
        <v>21</v>
      </c>
      <c r="AJ10" s="17" t="s">
        <v>31</v>
      </c>
      <c r="AK10" s="17" t="s">
        <v>22</v>
      </c>
      <c r="AL10" s="17" t="s">
        <v>32</v>
      </c>
      <c r="AU10" s="240"/>
      <c r="AV10" s="240"/>
      <c r="AW10" s="240"/>
      <c r="AX10" s="240"/>
    </row>
    <row r="11" spans="1:50" s="9" customFormat="1" ht="15" customHeight="1" thickBot="1">
      <c r="A11" s="52"/>
      <c r="B11" s="67"/>
      <c r="C11" s="53"/>
      <c r="D11" s="52"/>
      <c r="E11" s="52"/>
      <c r="F11" s="87"/>
      <c r="G11" s="90"/>
      <c r="H11" s="88"/>
      <c r="I11" s="52">
        <f>SUM(I12:I17)</f>
        <v>120</v>
      </c>
      <c r="J11" s="52">
        <f>SUM(J12:J13)</f>
        <v>0</v>
      </c>
      <c r="K11" s="94">
        <f>SUM(K12:K17)</f>
        <v>86443.2</v>
      </c>
      <c r="L11" s="55"/>
      <c r="M11" s="54"/>
      <c r="N11" s="54"/>
      <c r="O11" s="54"/>
      <c r="P11" s="93">
        <f aca="true" t="shared" si="0" ref="P11:U11">SUM(P12:P17)</f>
        <v>44945.28</v>
      </c>
      <c r="Q11" s="93">
        <f t="shared" si="0"/>
        <v>12903.789888000001</v>
      </c>
      <c r="R11" s="93">
        <f t="shared" si="0"/>
        <v>57849.069888</v>
      </c>
      <c r="S11" s="93">
        <f t="shared" si="0"/>
        <v>0</v>
      </c>
      <c r="T11" s="93">
        <f t="shared" si="0"/>
        <v>57849.069888</v>
      </c>
      <c r="U11" s="94">
        <f t="shared" si="0"/>
        <v>28594.130112000006</v>
      </c>
      <c r="V11"/>
      <c r="W11" s="24">
        <f>SUM(W12:W17)</f>
        <v>24</v>
      </c>
      <c r="X11" s="25">
        <f>W11/I11</f>
        <v>0.2</v>
      </c>
      <c r="Y11" s="97">
        <f>SUM(Y12:Y17)</f>
        <v>1143.7652044800004</v>
      </c>
      <c r="Z11" s="132">
        <f>SUM(Z12:Z17)</f>
        <v>2859.4130112000007</v>
      </c>
      <c r="AA11" s="97">
        <f>SUM(AA12:AA17)</f>
        <v>1715.64780672</v>
      </c>
      <c r="AB11" s="24">
        <f>SUM(AB12:AB17)</f>
        <v>96</v>
      </c>
      <c r="AC11" s="25">
        <f>AB11/I11</f>
        <v>0.8</v>
      </c>
      <c r="AD11" s="94">
        <f>SUM(AD12:AD17)</f>
        <v>22875.304089600006</v>
      </c>
      <c r="AE11"/>
      <c r="AF11" s="93">
        <f>SUM(AF12:AF17)</f>
        <v>44945.28</v>
      </c>
      <c r="AG11" s="93">
        <f>SUM(AG12:AG17)</f>
        <v>12903.789888000001</v>
      </c>
      <c r="AH11" s="93">
        <f>SUM(AH12:AH17)</f>
        <v>57849.069888</v>
      </c>
      <c r="AI11" s="93">
        <f aca="true" t="shared" si="1" ref="AI11:AJ11">SUM(AI12:AI17)</f>
        <v>0</v>
      </c>
      <c r="AJ11" s="93">
        <f t="shared" si="1"/>
        <v>0</v>
      </c>
      <c r="AK11" s="93">
        <f>SUM(AK12:AK17)</f>
        <v>57849.069888</v>
      </c>
      <c r="AL11" s="93">
        <f>SUM(AL12:AL17)</f>
        <v>0</v>
      </c>
      <c r="AM11" s="7"/>
      <c r="AN11" s="7"/>
      <c r="AO11" s="7"/>
      <c r="AP11" s="7"/>
      <c r="AQ11" s="7"/>
      <c r="AR11" s="7"/>
      <c r="AS11" s="7"/>
      <c r="AX11" s="11"/>
    </row>
    <row r="12" spans="1:38" s="29" customFormat="1" ht="15">
      <c r="A12" s="26" t="s">
        <v>33</v>
      </c>
      <c r="B12" s="156">
        <v>1023</v>
      </c>
      <c r="C12" s="7" t="s">
        <v>34</v>
      </c>
      <c r="D12" s="29" t="s">
        <v>38</v>
      </c>
      <c r="E12" s="7" t="s">
        <v>0</v>
      </c>
      <c r="F12" t="s">
        <v>36</v>
      </c>
      <c r="G12" s="75" t="s">
        <v>73</v>
      </c>
      <c r="H12" s="5">
        <v>3</v>
      </c>
      <c r="I12" s="29">
        <f aca="true" t="shared" si="2" ref="I12:I17">$I$8</f>
        <v>20</v>
      </c>
      <c r="K12" s="100">
        <f>IF(E12="UGRD",H12*I12*'3-3 Load Table Revised'!$G$7,IF(E12="GRAD",H12*I12*'3-3 Load Table Revised'!$G$8))</f>
        <v>14407.2</v>
      </c>
      <c r="L12" s="139" t="s">
        <v>47</v>
      </c>
      <c r="N12" s="29">
        <f>VLOOKUP(G12,'3-3 Load Table Revised'!$A$1:C20,3,FALSE)</f>
        <v>1</v>
      </c>
      <c r="O12" s="101">
        <f>VLOOKUP(G12,'3-3 Load Table Revised'!$A$1:B20,2,FALSE)</f>
        <v>62424</v>
      </c>
      <c r="P12" s="95">
        <f>IF(O12="A1","$4,000.00",(IF(O12="A2","$5,000.00",(IF(O12="A3","$5,000.00",(IF(L12="TTIN",H12*O12*0.025,IF(L12="TTIR",H12*O12*0.025,(IF(L12="O",H12*O12*0.025,(IF(L12="CIN",H12*O12*0.025,(IF(L12="CIR",H12*O12*0.025,(IF(L12="IR",H12*O12*0.025,(IF(L12="IN",H12*O12*0.025,(IF(L12="GA",H12*O12*0.025,(IF(L12="CISP",H12*O12*0.04))))))))))))))))))))))</f>
        <v>7490.88</v>
      </c>
      <c r="Q12" s="95">
        <f>IF(N12=1,P12*'3-3 Load Table Revised'!$G$1,IF(N12=2,P12*'3-3 Load Table Revised'!$G$6,IF(N12=3,P12*'3-3 Load Table Revised'!$G$2,IF(N12=4,P12*'3-3 Load Table Revised'!$G$4,IF(N12=5,P12*'3-3 Load Table Revised'!$G$3,)))))</f>
        <v>2150.631648</v>
      </c>
      <c r="R12" s="95">
        <f aca="true" t="shared" si="3" ref="R12:R17">P12+Q12</f>
        <v>9641.511648</v>
      </c>
      <c r="S12" s="95"/>
      <c r="T12" s="95">
        <f aca="true" t="shared" si="4" ref="T12:T17">R12+S12</f>
        <v>9641.511648</v>
      </c>
      <c r="U12" s="96">
        <f aca="true" t="shared" si="5" ref="U12:U17">K12-T12</f>
        <v>4765.688352000001</v>
      </c>
      <c r="V12"/>
      <c r="W12" s="15">
        <v>4</v>
      </c>
      <c r="X12" s="27">
        <f>W12/I12</f>
        <v>0.2</v>
      </c>
      <c r="Y12" s="98">
        <f aca="true" t="shared" si="6" ref="Y12:Y17">(X12*U12)*$Y$9</f>
        <v>190.62753408000006</v>
      </c>
      <c r="Z12" s="133">
        <f aca="true" t="shared" si="7" ref="Z12:Z17">(X12*U12)*$Z$9</f>
        <v>476.56883520000014</v>
      </c>
      <c r="AA12" s="98">
        <f aca="true" t="shared" si="8" ref="AA12:AA17">(X12*U12)*$AA$9</f>
        <v>285.94130112000005</v>
      </c>
      <c r="AB12" s="12">
        <f>I12-W12</f>
        <v>16</v>
      </c>
      <c r="AC12" s="27">
        <f>AB12/I12</f>
        <v>0.8</v>
      </c>
      <c r="AD12" s="96">
        <f aca="true" t="shared" si="9" ref="AD12">U12*AC12</f>
        <v>3812.550681600001</v>
      </c>
      <c r="AE12"/>
      <c r="AF12" s="99">
        <f aca="true" t="shared" si="10" ref="AF12:AF17">IF(L12="TTIN","0.00",(IF(L12="CIN","0.00",(IF(L12="IN","0.00",P12)))))</f>
        <v>7490.88</v>
      </c>
      <c r="AG12" s="99">
        <f aca="true" t="shared" si="11" ref="AG12:AG17">IF(L12="TTIN","0.00",(IF(L12="CIN","0.00",(IF(L12="IN","0.00",Q12)))))</f>
        <v>2150.631648</v>
      </c>
      <c r="AH12" s="99">
        <f aca="true" t="shared" si="12" ref="AH12:AH16">IF(L12="TTIN","0.00",(IF(L12="CIN","0.00",(IF(L12="IN","0.00",R12)))))</f>
        <v>9641.511648</v>
      </c>
      <c r="AI12" s="95"/>
      <c r="AJ12" s="95"/>
      <c r="AK12" s="95">
        <f aca="true" t="shared" si="13" ref="AK12:AK17">AH12+AI12+AJ12</f>
        <v>9641.511648</v>
      </c>
      <c r="AL12" s="95">
        <f aca="true" t="shared" si="14" ref="AL12">T12-AK12</f>
        <v>0</v>
      </c>
    </row>
    <row r="13" spans="1:38" s="29" customFormat="1" ht="15">
      <c r="A13" s="26" t="s">
        <v>33</v>
      </c>
      <c r="B13" s="156">
        <v>1033</v>
      </c>
      <c r="C13" s="7" t="s">
        <v>34</v>
      </c>
      <c r="D13" s="29" t="s">
        <v>37</v>
      </c>
      <c r="E13" s="7" t="s">
        <v>0</v>
      </c>
      <c r="F13" t="s">
        <v>36</v>
      </c>
      <c r="G13" s="75" t="s">
        <v>73</v>
      </c>
      <c r="H13" s="5">
        <v>3</v>
      </c>
      <c r="I13" s="29">
        <f t="shared" si="2"/>
        <v>20</v>
      </c>
      <c r="K13" s="100">
        <f>IF(E13="UGRD",H13*I13*'3-3 Load Table Revised'!$G$7,IF(E13="GRAD",H13*I13*'3-3 Load Table Revised'!$G$8))</f>
        <v>14407.2</v>
      </c>
      <c r="L13" s="140" t="s">
        <v>47</v>
      </c>
      <c r="N13" s="29">
        <f>VLOOKUP(G13,'3-3 Load Table Revised'!$A$1:C20,3,FALSE)</f>
        <v>1</v>
      </c>
      <c r="O13" s="101">
        <f>VLOOKUP(G13,'3-3 Load Table Revised'!$A$1:B20,2,FALSE)</f>
        <v>62424</v>
      </c>
      <c r="P13" s="95">
        <f>IF(O13="A1","$4,000.00",(IF(O13="A2","$5,000.00",(IF(O13="A3","$5,000.00",(IF(L13="TTIN",H13*O13*0.025,IF(L13="TTIR",H13*O13*0.025,(IF(L13="O",H13*O13*0.025,(IF(L13="CIN",H13*O13*0.025,(IF(L13="CIR",H13*O13*0.025,(IF(L13="IR",H13*O13*0.025,(IF(L13="IN",H13*O13*0.025,(IF(L13="GA",H13*O13*0.025,(IF(L13="CISP",H13*O13*0.04))))))))))))))))))))))</f>
        <v>7490.88</v>
      </c>
      <c r="Q13" s="95">
        <f>IF(N13=1,P13*'3-3 Load Table Revised'!$G$1,IF(N13=2,P13*'3-3 Load Table Revised'!$G$6,IF(N13=3,P13*'3-3 Load Table Revised'!$G$2,IF(N13=4,P13*'3-3 Load Table Revised'!$G$4,IF(N13=5,P13*'3-3 Load Table Revised'!$G$3,)))))</f>
        <v>2150.631648</v>
      </c>
      <c r="R13" s="95">
        <f t="shared" si="3"/>
        <v>9641.511648</v>
      </c>
      <c r="S13" s="95"/>
      <c r="T13" s="95">
        <f t="shared" si="4"/>
        <v>9641.511648</v>
      </c>
      <c r="U13" s="96">
        <f t="shared" si="5"/>
        <v>4765.688352000001</v>
      </c>
      <c r="V13"/>
      <c r="W13" s="15">
        <v>4</v>
      </c>
      <c r="X13" s="27">
        <f aca="true" t="shared" si="15" ref="X13:X17">W13/I13</f>
        <v>0.2</v>
      </c>
      <c r="Y13" s="98">
        <f t="shared" si="6"/>
        <v>190.62753408000006</v>
      </c>
      <c r="Z13" s="133">
        <f t="shared" si="7"/>
        <v>476.56883520000014</v>
      </c>
      <c r="AA13" s="98">
        <f t="shared" si="8"/>
        <v>285.94130112000005</v>
      </c>
      <c r="AB13" s="12">
        <f aca="true" t="shared" si="16" ref="AB13:AB17">I13-W13</f>
        <v>16</v>
      </c>
      <c r="AC13" s="27">
        <f aca="true" t="shared" si="17" ref="AC13:AC17">AB13/I13</f>
        <v>0.8</v>
      </c>
      <c r="AD13" s="96">
        <f>U13*AC13</f>
        <v>3812.550681600001</v>
      </c>
      <c r="AE13"/>
      <c r="AF13" s="99">
        <f t="shared" si="10"/>
        <v>7490.88</v>
      </c>
      <c r="AG13" s="99">
        <f t="shared" si="11"/>
        <v>2150.631648</v>
      </c>
      <c r="AH13" s="99">
        <f t="shared" si="12"/>
        <v>9641.511648</v>
      </c>
      <c r="AI13" s="95"/>
      <c r="AJ13" s="95"/>
      <c r="AK13" s="95">
        <f t="shared" si="13"/>
        <v>9641.511648</v>
      </c>
      <c r="AL13" s="95">
        <f>T13-AK13</f>
        <v>0</v>
      </c>
    </row>
    <row r="14" spans="1:38" s="29" customFormat="1" ht="15">
      <c r="A14" s="26" t="s">
        <v>33</v>
      </c>
      <c r="B14" s="156">
        <v>2003</v>
      </c>
      <c r="C14" s="7" t="s">
        <v>34</v>
      </c>
      <c r="D14" s="29" t="s">
        <v>39</v>
      </c>
      <c r="E14" s="7" t="s">
        <v>0</v>
      </c>
      <c r="F14" t="s">
        <v>36</v>
      </c>
      <c r="G14" s="75" t="s">
        <v>73</v>
      </c>
      <c r="H14" s="5">
        <v>3</v>
      </c>
      <c r="I14" s="29">
        <f t="shared" si="2"/>
        <v>20</v>
      </c>
      <c r="K14" s="100">
        <f>IF(E14="UGRD",H14*I14*'3-3 Load Table Revised'!$G$7,IF(E14="GRAD",H14*I14*'3-3 Load Table Revised'!$G$8))</f>
        <v>14407.2</v>
      </c>
      <c r="L14" s="140" t="s">
        <v>47</v>
      </c>
      <c r="N14" s="29">
        <f>VLOOKUP(G14,'3-3 Load Table Revised'!$A$1:C20,3,FALSE)</f>
        <v>1</v>
      </c>
      <c r="O14" s="101">
        <f>VLOOKUP(G14,'3-3 Load Table Revised'!$A$1:B20,2,FALSE)</f>
        <v>62424</v>
      </c>
      <c r="P14" s="95">
        <f aca="true" t="shared" si="18" ref="P14:P17">IF(O14="A1","$4,000.00",(IF(O14="A2","$5,000.00",(IF(O14="A3","$5,000.00",(IF(L14="TTIN",H14*O14*0.025,IF(L14="TTIR",H14*O14*0.025,(IF(L14="O",H14*O14*0.025,(IF(L14="CIN",H14*O14*0.025,(IF(L14="CIR",H14*O14*0.025,(IF(L14="IR",H14*O14*0.025,(IF(L14="IN",H14*O14*0.025,(IF(L14="GA",H14*O14*0.025,(IF(L14="CISP",H14*O14*0.04))))))))))))))))))))))</f>
        <v>7490.88</v>
      </c>
      <c r="Q14" s="95">
        <f>IF(N14=1,P14*'3-3 Load Table Revised'!$G$1,IF(N14=2,P14*'3-3 Load Table Revised'!$G$6,IF(N14=3,P14*'3-3 Load Table Revised'!$G$2,IF(N14=4,P14*'3-3 Load Table Revised'!$G$4,IF(N14=5,P14*'3-3 Load Table Revised'!$G$3,)))))</f>
        <v>2150.631648</v>
      </c>
      <c r="R14" s="95">
        <f t="shared" si="3"/>
        <v>9641.511648</v>
      </c>
      <c r="S14" s="95"/>
      <c r="T14" s="95">
        <f t="shared" si="4"/>
        <v>9641.511648</v>
      </c>
      <c r="U14" s="96">
        <f t="shared" si="5"/>
        <v>4765.688352000001</v>
      </c>
      <c r="V14"/>
      <c r="W14" s="15">
        <v>4</v>
      </c>
      <c r="X14" s="27">
        <f t="shared" si="15"/>
        <v>0.2</v>
      </c>
      <c r="Y14" s="98">
        <f t="shared" si="6"/>
        <v>190.62753408000006</v>
      </c>
      <c r="Z14" s="133">
        <f t="shared" si="7"/>
        <v>476.56883520000014</v>
      </c>
      <c r="AA14" s="98">
        <f t="shared" si="8"/>
        <v>285.94130112000005</v>
      </c>
      <c r="AB14" s="12">
        <f t="shared" si="16"/>
        <v>16</v>
      </c>
      <c r="AC14" s="27">
        <f t="shared" si="17"/>
        <v>0.8</v>
      </c>
      <c r="AD14" s="96">
        <f>U14*AC14</f>
        <v>3812.550681600001</v>
      </c>
      <c r="AE14"/>
      <c r="AF14" s="99">
        <f t="shared" si="10"/>
        <v>7490.88</v>
      </c>
      <c r="AG14" s="99">
        <f t="shared" si="11"/>
        <v>2150.631648</v>
      </c>
      <c r="AH14" s="99">
        <f t="shared" si="12"/>
        <v>9641.511648</v>
      </c>
      <c r="AI14" s="95"/>
      <c r="AJ14" s="95"/>
      <c r="AK14" s="95">
        <f t="shared" si="13"/>
        <v>9641.511648</v>
      </c>
      <c r="AL14" s="95">
        <f>T14-AK14</f>
        <v>0</v>
      </c>
    </row>
    <row r="15" spans="1:38" s="29" customFormat="1" ht="15">
      <c r="A15" s="26" t="s">
        <v>33</v>
      </c>
      <c r="B15" s="156">
        <v>2053</v>
      </c>
      <c r="C15" s="7" t="s">
        <v>34</v>
      </c>
      <c r="D15" s="29" t="s">
        <v>40</v>
      </c>
      <c r="E15" s="7" t="s">
        <v>0</v>
      </c>
      <c r="F15" t="s">
        <v>36</v>
      </c>
      <c r="G15" s="75" t="s">
        <v>73</v>
      </c>
      <c r="H15" s="5">
        <v>3</v>
      </c>
      <c r="I15" s="29">
        <f t="shared" si="2"/>
        <v>20</v>
      </c>
      <c r="K15" s="100">
        <f>IF(E15="UGRD",H15*I15*'3-3 Load Table Revised'!$G$7,IF(E15="GRAD",H15*I15*'3-3 Load Table Revised'!$G$8))</f>
        <v>14407.2</v>
      </c>
      <c r="L15" s="140" t="s">
        <v>47</v>
      </c>
      <c r="N15" s="29">
        <f>VLOOKUP(G15,'3-3 Load Table Revised'!$A$1:C20,3,FALSE)</f>
        <v>1</v>
      </c>
      <c r="O15" s="101">
        <f>VLOOKUP(G15,'3-3 Load Table Revised'!$A$1:B20,2,FALSE)</f>
        <v>62424</v>
      </c>
      <c r="P15" s="95">
        <f t="shared" si="18"/>
        <v>7490.88</v>
      </c>
      <c r="Q15" s="95">
        <f>IF(N15=1,P15*'3-3 Load Table Revised'!$G$1,IF(N15=2,P15*'3-3 Load Table Revised'!$G$6,IF(N15=3,P15*'3-3 Load Table Revised'!$G$2,IF(N15=4,P15*'3-3 Load Table Revised'!$G$4,IF(N15=5,P15*'3-3 Load Table Revised'!$G$3,)))))</f>
        <v>2150.631648</v>
      </c>
      <c r="R15" s="95">
        <f t="shared" si="3"/>
        <v>9641.511648</v>
      </c>
      <c r="S15" s="95"/>
      <c r="T15" s="95">
        <f t="shared" si="4"/>
        <v>9641.511648</v>
      </c>
      <c r="U15" s="96">
        <f t="shared" si="5"/>
        <v>4765.688352000001</v>
      </c>
      <c r="V15"/>
      <c r="W15" s="15">
        <v>4</v>
      </c>
      <c r="X15" s="27">
        <f t="shared" si="15"/>
        <v>0.2</v>
      </c>
      <c r="Y15" s="98">
        <f t="shared" si="6"/>
        <v>190.62753408000006</v>
      </c>
      <c r="Z15" s="133">
        <f t="shared" si="7"/>
        <v>476.56883520000014</v>
      </c>
      <c r="AA15" s="98">
        <f t="shared" si="8"/>
        <v>285.94130112000005</v>
      </c>
      <c r="AB15" s="12">
        <f t="shared" si="16"/>
        <v>16</v>
      </c>
      <c r="AC15" s="27">
        <f t="shared" si="17"/>
        <v>0.8</v>
      </c>
      <c r="AD15" s="96">
        <f>U15*AC15</f>
        <v>3812.550681600001</v>
      </c>
      <c r="AE15"/>
      <c r="AF15" s="99">
        <f t="shared" si="10"/>
        <v>7490.88</v>
      </c>
      <c r="AG15" s="99">
        <f t="shared" si="11"/>
        <v>2150.631648</v>
      </c>
      <c r="AH15" s="99">
        <f t="shared" si="12"/>
        <v>9641.511648</v>
      </c>
      <c r="AI15" s="95"/>
      <c r="AJ15" s="95"/>
      <c r="AK15" s="95">
        <f t="shared" si="13"/>
        <v>9641.511648</v>
      </c>
      <c r="AL15" s="95">
        <f>T15-AK15</f>
        <v>0</v>
      </c>
    </row>
    <row r="16" spans="1:38" s="29" customFormat="1" ht="15">
      <c r="A16" s="26" t="s">
        <v>33</v>
      </c>
      <c r="B16" s="156">
        <v>3633</v>
      </c>
      <c r="C16" s="7" t="s">
        <v>34</v>
      </c>
      <c r="D16" s="29" t="s">
        <v>35</v>
      </c>
      <c r="E16" s="7" t="s">
        <v>0</v>
      </c>
      <c r="F16" t="s">
        <v>36</v>
      </c>
      <c r="G16" s="75" t="s">
        <v>73</v>
      </c>
      <c r="H16" s="5">
        <v>3</v>
      </c>
      <c r="I16" s="29">
        <f t="shared" si="2"/>
        <v>20</v>
      </c>
      <c r="K16" s="100">
        <f>IF(E16="UGRD",H16*I16*'3-3 Load Table Revised'!$G$7,IF(E16="GRAD",H16*I16*'3-3 Load Table Revised'!$G$8))</f>
        <v>14407.2</v>
      </c>
      <c r="L16" s="140" t="s">
        <v>47</v>
      </c>
      <c r="N16" s="29">
        <f>VLOOKUP(G16,'3-3 Load Table Revised'!$A$1:C24,3,FALSE)</f>
        <v>1</v>
      </c>
      <c r="O16" s="101">
        <f>VLOOKUP(G16,'3-3 Load Table Revised'!$A$1:B24,2,FALSE)</f>
        <v>62424</v>
      </c>
      <c r="P16" s="95">
        <f t="shared" si="18"/>
        <v>7490.88</v>
      </c>
      <c r="Q16" s="95">
        <f>IF(N16=1,P16*'3-3 Load Table Revised'!$G$1,IF(N16=2,P16*'3-3 Load Table Revised'!$G$6,IF(N16=3,P16*'3-3 Load Table Revised'!$G$2,IF(N16=4,P16*'3-3 Load Table Revised'!$G$4,IF(N16=5,P16*'3-3 Load Table Revised'!$G$3,)))))</f>
        <v>2150.631648</v>
      </c>
      <c r="R16" s="95">
        <f t="shared" si="3"/>
        <v>9641.511648</v>
      </c>
      <c r="S16" s="95"/>
      <c r="T16" s="95">
        <f t="shared" si="4"/>
        <v>9641.511648</v>
      </c>
      <c r="U16" s="96">
        <f t="shared" si="5"/>
        <v>4765.688352000001</v>
      </c>
      <c r="V16"/>
      <c r="W16" s="15">
        <v>4</v>
      </c>
      <c r="X16" s="27">
        <f t="shared" si="15"/>
        <v>0.2</v>
      </c>
      <c r="Y16" s="98">
        <f t="shared" si="6"/>
        <v>190.62753408000006</v>
      </c>
      <c r="Z16" s="133">
        <f t="shared" si="7"/>
        <v>476.56883520000014</v>
      </c>
      <c r="AA16" s="98">
        <f t="shared" si="8"/>
        <v>285.94130112000005</v>
      </c>
      <c r="AB16" s="12">
        <f t="shared" si="16"/>
        <v>16</v>
      </c>
      <c r="AC16" s="27">
        <f t="shared" si="17"/>
        <v>0.8</v>
      </c>
      <c r="AD16" s="96">
        <f>U16*AC16</f>
        <v>3812.550681600001</v>
      </c>
      <c r="AE16"/>
      <c r="AF16" s="99">
        <f t="shared" si="10"/>
        <v>7490.88</v>
      </c>
      <c r="AG16" s="99">
        <f t="shared" si="11"/>
        <v>2150.631648</v>
      </c>
      <c r="AH16" s="99">
        <f t="shared" si="12"/>
        <v>9641.511648</v>
      </c>
      <c r="AI16" s="95"/>
      <c r="AJ16" s="95"/>
      <c r="AK16" s="95">
        <f t="shared" si="13"/>
        <v>9641.511648</v>
      </c>
      <c r="AL16" s="95">
        <f>T16-AK16</f>
        <v>0</v>
      </c>
    </row>
    <row r="17" spans="1:38" s="29" customFormat="1" ht="15.75" thickBot="1">
      <c r="A17" s="26" t="s">
        <v>33</v>
      </c>
      <c r="B17" s="156">
        <v>4333</v>
      </c>
      <c r="C17" s="7" t="s">
        <v>34</v>
      </c>
      <c r="D17" s="29" t="s">
        <v>41</v>
      </c>
      <c r="E17" s="7" t="s">
        <v>0</v>
      </c>
      <c r="F17" t="s">
        <v>36</v>
      </c>
      <c r="G17" s="76" t="s">
        <v>73</v>
      </c>
      <c r="H17" s="5">
        <v>3</v>
      </c>
      <c r="I17" s="29">
        <f t="shared" si="2"/>
        <v>20</v>
      </c>
      <c r="K17" s="100">
        <f>IF(E17="UGRD",H17*I17*'3-3 Load Table Revised'!$G$7,IF(E17="GRAD",H17*I17*'3-3 Load Table Revised'!$G$8))</f>
        <v>14407.2</v>
      </c>
      <c r="L17" s="141" t="s">
        <v>47</v>
      </c>
      <c r="N17" s="29">
        <f>VLOOKUP(G17,'3-3 Load Table Revised'!$A$1:C25,3,FALSE)</f>
        <v>1</v>
      </c>
      <c r="O17" s="101">
        <f>VLOOKUP(G17,'3-3 Load Table Revised'!$A$1:B25,2,FALSE)</f>
        <v>62424</v>
      </c>
      <c r="P17" s="95">
        <f t="shared" si="18"/>
        <v>7490.88</v>
      </c>
      <c r="Q17" s="95">
        <f>IF(N17=1,P17*'3-3 Load Table Revised'!$G$1,IF(N17=2,P17*'3-3 Load Table Revised'!$G$6,IF(N17=3,P17*'3-3 Load Table Revised'!$G$2,IF(N17=4,P17*'3-3 Load Table Revised'!$G$4,IF(N17=5,P17*'3-3 Load Table Revised'!$G$3,)))))</f>
        <v>2150.631648</v>
      </c>
      <c r="R17" s="95">
        <f t="shared" si="3"/>
        <v>9641.511648</v>
      </c>
      <c r="S17" s="95"/>
      <c r="T17" s="95">
        <f t="shared" si="4"/>
        <v>9641.511648</v>
      </c>
      <c r="U17" s="96">
        <f t="shared" si="5"/>
        <v>4765.688352000001</v>
      </c>
      <c r="V17"/>
      <c r="W17" s="15">
        <v>4</v>
      </c>
      <c r="X17" s="27">
        <f t="shared" si="15"/>
        <v>0.2</v>
      </c>
      <c r="Y17" s="98">
        <f t="shared" si="6"/>
        <v>190.62753408000006</v>
      </c>
      <c r="Z17" s="133">
        <f t="shared" si="7"/>
        <v>476.56883520000014</v>
      </c>
      <c r="AA17" s="98">
        <f t="shared" si="8"/>
        <v>285.94130112000005</v>
      </c>
      <c r="AB17" s="12">
        <f t="shared" si="16"/>
        <v>16</v>
      </c>
      <c r="AC17" s="27">
        <f t="shared" si="17"/>
        <v>0.8</v>
      </c>
      <c r="AD17" s="96">
        <f>U17*AC17</f>
        <v>3812.550681600001</v>
      </c>
      <c r="AE17"/>
      <c r="AF17" s="99">
        <f t="shared" si="10"/>
        <v>7490.88</v>
      </c>
      <c r="AG17" s="99">
        <f t="shared" si="11"/>
        <v>2150.631648</v>
      </c>
      <c r="AH17" s="99">
        <f>IF(L17="TTIN","0.00",(IF(L17="CIN","0.00",(IF(L17="IN","0.00",R17)))))</f>
        <v>9641.511648</v>
      </c>
      <c r="AI17" s="95"/>
      <c r="AJ17" s="95"/>
      <c r="AK17" s="95">
        <f t="shared" si="13"/>
        <v>9641.511648</v>
      </c>
      <c r="AL17" s="95">
        <f>T17-AK17</f>
        <v>0</v>
      </c>
    </row>
    <row r="18" spans="26:38" ht="15">
      <c r="Z18" s="77"/>
      <c r="AF18" s="28"/>
      <c r="AG18" s="28"/>
      <c r="AH18" s="28"/>
      <c r="AI18" s="28"/>
      <c r="AJ18" s="28"/>
      <c r="AK18" s="28"/>
      <c r="AL18" s="28"/>
    </row>
    <row r="19" spans="1:38" s="29" customFormat="1" ht="15">
      <c r="A19" s="56"/>
      <c r="H19" s="57"/>
      <c r="K19" s="58"/>
      <c r="O19" s="59"/>
      <c r="P19" s="60"/>
      <c r="Q19" s="60"/>
      <c r="R19" s="60"/>
      <c r="S19"/>
      <c r="T19"/>
      <c r="U19"/>
      <c r="V19"/>
      <c r="W19"/>
      <c r="X19"/>
      <c r="Y19"/>
      <c r="Z19" s="77"/>
      <c r="AA19"/>
      <c r="AB19"/>
      <c r="AC19"/>
      <c r="AD19"/>
      <c r="AE19"/>
      <c r="AF19" s="28"/>
      <c r="AG19" s="28"/>
      <c r="AH19" s="28"/>
      <c r="AI19" s="28"/>
      <c r="AJ19" s="28"/>
      <c r="AK19" s="28"/>
      <c r="AL19" s="28"/>
    </row>
    <row r="20" spans="1:31" s="29" customFormat="1" ht="15">
      <c r="A20" s="56"/>
      <c r="H20" s="57"/>
      <c r="K20" s="58"/>
      <c r="O20" s="59"/>
      <c r="P20" s="60"/>
      <c r="Q20" s="60"/>
      <c r="R20" s="60"/>
      <c r="S20" s="61"/>
      <c r="T20" s="60"/>
      <c r="U20" s="60"/>
      <c r="V20"/>
      <c r="W20" s="60"/>
      <c r="X20" s="62"/>
      <c r="Z20" s="134"/>
      <c r="AE20"/>
    </row>
    <row r="21" spans="1:38" s="29" customFormat="1" ht="15">
      <c r="A21" s="56"/>
      <c r="G21" s="237" t="s">
        <v>97</v>
      </c>
      <c r="H21" s="57"/>
      <c r="I21" s="63"/>
      <c r="J21" s="63"/>
      <c r="K21" s="144"/>
      <c r="L21" s="145"/>
      <c r="M21" s="146"/>
      <c r="N21" s="146"/>
      <c r="O21" s="146"/>
      <c r="P21" s="147"/>
      <c r="Q21" s="147"/>
      <c r="R21" s="147"/>
      <c r="S21" s="147"/>
      <c r="T21" s="147"/>
      <c r="U21" s="144"/>
      <c r="V21" s="148"/>
      <c r="W21" s="149"/>
      <c r="X21" s="150"/>
      <c r="Y21" s="151"/>
      <c r="Z21" s="152"/>
      <c r="AA21" s="151"/>
      <c r="AB21" s="149"/>
      <c r="AC21" s="150"/>
      <c r="AD21" s="144"/>
      <c r="AE21" s="148"/>
      <c r="AF21" s="147"/>
      <c r="AG21" s="147"/>
      <c r="AH21" s="147"/>
      <c r="AI21" s="147"/>
      <c r="AJ21" s="147"/>
      <c r="AK21" s="147"/>
      <c r="AL21" s="147"/>
    </row>
    <row r="22" spans="1:31" s="29" customFormat="1" ht="15">
      <c r="A22" s="56"/>
      <c r="G22" s="238"/>
      <c r="H22" s="57"/>
      <c r="K22" s="58"/>
      <c r="O22" s="59"/>
      <c r="P22" s="60"/>
      <c r="Q22" s="60"/>
      <c r="R22" s="60"/>
      <c r="S22" s="61"/>
      <c r="T22" s="60"/>
      <c r="U22" s="60"/>
      <c r="V22" s="148"/>
      <c r="W22" s="60"/>
      <c r="X22" s="62"/>
      <c r="Z22" s="134"/>
      <c r="AE22" s="148"/>
    </row>
    <row r="23" spans="1:38" s="29" customFormat="1" ht="15">
      <c r="A23" s="56"/>
      <c r="G23" s="238"/>
      <c r="H23" s="57"/>
      <c r="I23" s="63"/>
      <c r="J23" s="63"/>
      <c r="K23" s="144"/>
      <c r="L23" s="145"/>
      <c r="M23" s="146"/>
      <c r="N23" s="146"/>
      <c r="O23" s="146"/>
      <c r="P23" s="147"/>
      <c r="Q23" s="147"/>
      <c r="R23" s="147"/>
      <c r="S23" s="147"/>
      <c r="T23" s="147"/>
      <c r="U23" s="144"/>
      <c r="V23" s="148"/>
      <c r="W23" s="149"/>
      <c r="X23" s="150"/>
      <c r="Y23" s="151"/>
      <c r="Z23" s="152"/>
      <c r="AA23" s="151"/>
      <c r="AB23" s="149"/>
      <c r="AC23" s="150"/>
      <c r="AD23" s="144"/>
      <c r="AE23" s="148"/>
      <c r="AF23" s="147"/>
      <c r="AG23" s="147"/>
      <c r="AH23" s="147"/>
      <c r="AI23" s="147"/>
      <c r="AJ23" s="147"/>
      <c r="AK23" s="147"/>
      <c r="AL23" s="147"/>
    </row>
    <row r="24" spans="1:31" s="29" customFormat="1" ht="15">
      <c r="A24" s="56"/>
      <c r="G24" s="238"/>
      <c r="H24" s="57"/>
      <c r="K24" s="58"/>
      <c r="O24" s="59"/>
      <c r="P24" s="60"/>
      <c r="Q24" s="60"/>
      <c r="R24" s="60"/>
      <c r="S24" s="61"/>
      <c r="T24" s="60"/>
      <c r="U24" s="60"/>
      <c r="V24" s="148"/>
      <c r="W24" s="60"/>
      <c r="X24" s="62"/>
      <c r="Z24" s="134"/>
      <c r="AE24" s="148"/>
    </row>
    <row r="25" spans="1:31" s="29" customFormat="1" ht="15">
      <c r="A25" s="56"/>
      <c r="G25" s="238"/>
      <c r="H25" s="57"/>
      <c r="K25" s="58"/>
      <c r="O25" s="59"/>
      <c r="P25" s="60"/>
      <c r="Q25" s="60"/>
      <c r="R25" s="60"/>
      <c r="S25" s="61"/>
      <c r="T25" s="60"/>
      <c r="U25" s="60"/>
      <c r="V25" s="148"/>
      <c r="W25" s="60"/>
      <c r="X25" s="62"/>
      <c r="Z25" s="134"/>
      <c r="AC25" s="63"/>
      <c r="AD25" s="63"/>
      <c r="AE25" s="148"/>
    </row>
    <row r="26" spans="1:38" s="63" customFormat="1" ht="15">
      <c r="A26" s="56"/>
      <c r="B26" s="29"/>
      <c r="C26" s="29"/>
      <c r="D26" s="29"/>
      <c r="E26" s="29"/>
      <c r="F26" s="29"/>
      <c r="G26" s="238"/>
      <c r="H26" s="57"/>
      <c r="K26" s="144"/>
      <c r="L26" s="145"/>
      <c r="M26" s="146"/>
      <c r="N26" s="146"/>
      <c r="O26" s="146"/>
      <c r="P26" s="147"/>
      <c r="Q26" s="147"/>
      <c r="R26" s="147"/>
      <c r="S26" s="147"/>
      <c r="T26" s="147"/>
      <c r="U26" s="144"/>
      <c r="V26" s="148"/>
      <c r="W26" s="149"/>
      <c r="X26" s="150"/>
      <c r="Y26" s="151"/>
      <c r="Z26" s="152"/>
      <c r="AA26" s="151"/>
      <c r="AB26" s="149"/>
      <c r="AC26" s="150"/>
      <c r="AD26" s="144"/>
      <c r="AE26" s="148"/>
      <c r="AF26" s="147"/>
      <c r="AG26" s="147"/>
      <c r="AH26" s="147"/>
      <c r="AI26" s="147"/>
      <c r="AJ26" s="147"/>
      <c r="AK26" s="147"/>
      <c r="AL26" s="147"/>
    </row>
    <row r="27" spans="1:31" s="29" customFormat="1" ht="15">
      <c r="A27" s="56"/>
      <c r="G27" s="238"/>
      <c r="H27" s="57"/>
      <c r="K27" s="58"/>
      <c r="O27" s="59"/>
      <c r="P27" s="60"/>
      <c r="Q27" s="60"/>
      <c r="R27" s="60"/>
      <c r="S27" s="61"/>
      <c r="T27" s="60"/>
      <c r="U27" s="60"/>
      <c r="V27" s="148"/>
      <c r="W27" s="60"/>
      <c r="X27" s="62"/>
      <c r="Z27" s="134"/>
      <c r="AE27" s="148"/>
    </row>
    <row r="28" spans="1:38" s="29" customFormat="1" ht="15">
      <c r="A28" s="56"/>
      <c r="G28" s="238"/>
      <c r="H28" s="57"/>
      <c r="I28" s="63"/>
      <c r="J28" s="63"/>
      <c r="K28" s="144"/>
      <c r="L28" s="145"/>
      <c r="M28" s="146"/>
      <c r="N28" s="146"/>
      <c r="O28" s="146"/>
      <c r="P28" s="147"/>
      <c r="Q28" s="147"/>
      <c r="R28" s="147"/>
      <c r="S28" s="147"/>
      <c r="T28" s="147"/>
      <c r="U28" s="144"/>
      <c r="V28" s="148"/>
      <c r="W28" s="149"/>
      <c r="X28" s="150"/>
      <c r="Y28" s="151"/>
      <c r="Z28" s="152"/>
      <c r="AA28" s="151"/>
      <c r="AB28" s="149"/>
      <c r="AC28" s="150"/>
      <c r="AD28" s="144"/>
      <c r="AE28" s="148"/>
      <c r="AF28" s="147"/>
      <c r="AG28" s="147"/>
      <c r="AH28" s="147"/>
      <c r="AI28" s="147"/>
      <c r="AJ28" s="147"/>
      <c r="AK28" s="147"/>
      <c r="AL28" s="147"/>
    </row>
    <row r="29" spans="1:31" s="29" customFormat="1" ht="15">
      <c r="A29" s="56"/>
      <c r="G29" s="239"/>
      <c r="H29" s="57"/>
      <c r="K29" s="58"/>
      <c r="O29" s="59"/>
      <c r="P29" s="60"/>
      <c r="Q29" s="60"/>
      <c r="R29" s="60"/>
      <c r="S29" s="61"/>
      <c r="T29" s="60"/>
      <c r="U29" s="60"/>
      <c r="V29" s="148"/>
      <c r="W29" s="60"/>
      <c r="X29" s="62"/>
      <c r="Z29" s="134"/>
      <c r="AE29" s="148"/>
    </row>
    <row r="30" spans="1:31" s="29" customFormat="1" ht="15">
      <c r="A30" s="56"/>
      <c r="H30" s="57"/>
      <c r="K30" s="58"/>
      <c r="O30" s="59"/>
      <c r="P30" s="60"/>
      <c r="Q30" s="60"/>
      <c r="R30" s="60"/>
      <c r="S30" s="61"/>
      <c r="T30" s="60"/>
      <c r="U30" s="60"/>
      <c r="V30" s="148"/>
      <c r="W30" s="60"/>
      <c r="X30" s="62"/>
      <c r="Z30" s="134"/>
      <c r="AE30" s="148"/>
    </row>
    <row r="31" spans="1:38" s="29" customFormat="1" ht="15">
      <c r="A31" s="56"/>
      <c r="H31" s="57"/>
      <c r="I31" s="63"/>
      <c r="J31" s="63"/>
      <c r="K31" s="144"/>
      <c r="L31" s="145"/>
      <c r="M31" s="146"/>
      <c r="N31" s="146"/>
      <c r="O31" s="146"/>
      <c r="P31" s="147"/>
      <c r="Q31" s="147"/>
      <c r="R31" s="147"/>
      <c r="S31" s="147"/>
      <c r="T31" s="147"/>
      <c r="U31" s="144"/>
      <c r="V31" s="148"/>
      <c r="W31" s="149"/>
      <c r="X31" s="150"/>
      <c r="Y31" s="151"/>
      <c r="Z31" s="152"/>
      <c r="AA31" s="151"/>
      <c r="AB31" s="149"/>
      <c r="AC31" s="150"/>
      <c r="AD31" s="144"/>
      <c r="AE31" s="148"/>
      <c r="AF31" s="147"/>
      <c r="AG31" s="147"/>
      <c r="AH31" s="147"/>
      <c r="AI31" s="147"/>
      <c r="AJ31" s="147"/>
      <c r="AK31" s="147"/>
      <c r="AL31" s="147"/>
    </row>
    <row r="32" spans="1:31" s="29" customFormat="1" ht="15">
      <c r="A32" s="56"/>
      <c r="H32" s="57"/>
      <c r="K32" s="58"/>
      <c r="O32" s="59"/>
      <c r="P32" s="60"/>
      <c r="Q32" s="60"/>
      <c r="R32" s="60"/>
      <c r="S32" s="61"/>
      <c r="T32" s="60"/>
      <c r="U32" s="60"/>
      <c r="V32" s="148"/>
      <c r="W32" s="60"/>
      <c r="X32" s="62"/>
      <c r="Z32" s="134"/>
      <c r="AE32" s="148"/>
    </row>
    <row r="33" spans="1:38" s="29" customFormat="1" ht="15">
      <c r="A33" s="56"/>
      <c r="H33" s="57"/>
      <c r="I33" s="63"/>
      <c r="J33" s="63"/>
      <c r="K33" s="144"/>
      <c r="L33" s="145"/>
      <c r="M33" s="146"/>
      <c r="N33" s="146"/>
      <c r="O33" s="146"/>
      <c r="P33" s="147"/>
      <c r="Q33" s="147"/>
      <c r="R33" s="147"/>
      <c r="S33" s="147"/>
      <c r="T33" s="147"/>
      <c r="U33" s="144"/>
      <c r="V33" s="148"/>
      <c r="W33" s="149"/>
      <c r="X33" s="150"/>
      <c r="Y33" s="151"/>
      <c r="Z33" s="152"/>
      <c r="AA33" s="151"/>
      <c r="AB33" s="149"/>
      <c r="AC33" s="150"/>
      <c r="AD33" s="144"/>
      <c r="AE33" s="148"/>
      <c r="AF33" s="147"/>
      <c r="AG33" s="147"/>
      <c r="AH33" s="147"/>
      <c r="AI33" s="147"/>
      <c r="AJ33" s="147"/>
      <c r="AK33" s="147"/>
      <c r="AL33" s="147"/>
    </row>
    <row r="34" spans="1:31" s="29" customFormat="1" ht="15">
      <c r="A34" s="56"/>
      <c r="H34" s="57"/>
      <c r="K34" s="58"/>
      <c r="O34" s="59"/>
      <c r="P34" s="60"/>
      <c r="Q34" s="60"/>
      <c r="R34" s="60"/>
      <c r="S34" s="61"/>
      <c r="T34" s="60"/>
      <c r="U34" s="60"/>
      <c r="V34" s="148"/>
      <c r="W34" s="60"/>
      <c r="X34" s="62"/>
      <c r="Z34" s="134"/>
      <c r="AE34" s="148"/>
    </row>
    <row r="35" spans="1:31" s="29" customFormat="1" ht="15">
      <c r="A35" s="56"/>
      <c r="H35" s="57"/>
      <c r="K35" s="58"/>
      <c r="O35" s="59"/>
      <c r="P35" s="60"/>
      <c r="Q35" s="60"/>
      <c r="R35" s="60"/>
      <c r="S35" s="61"/>
      <c r="T35" s="60"/>
      <c r="U35" s="60"/>
      <c r="V35" s="148"/>
      <c r="W35" s="60"/>
      <c r="X35" s="62"/>
      <c r="Z35" s="134"/>
      <c r="AE35" s="148"/>
    </row>
    <row r="36" spans="1:38" s="29" customFormat="1" ht="15">
      <c r="A36" s="56"/>
      <c r="H36" s="57"/>
      <c r="I36" s="153"/>
      <c r="J36" s="63"/>
      <c r="K36" s="144"/>
      <c r="L36" s="145"/>
      <c r="M36" s="146"/>
      <c r="N36" s="146"/>
      <c r="O36" s="146"/>
      <c r="P36" s="147"/>
      <c r="Q36" s="147"/>
      <c r="R36" s="147"/>
      <c r="S36" s="147"/>
      <c r="T36" s="147"/>
      <c r="U36" s="144"/>
      <c r="V36" s="148"/>
      <c r="W36" s="149"/>
      <c r="X36" s="150"/>
      <c r="Y36" s="151"/>
      <c r="Z36" s="152"/>
      <c r="AA36" s="151"/>
      <c r="AB36" s="149"/>
      <c r="AC36" s="150"/>
      <c r="AD36" s="144"/>
      <c r="AE36" s="148"/>
      <c r="AF36" s="147"/>
      <c r="AG36" s="147"/>
      <c r="AH36" s="147"/>
      <c r="AI36" s="147"/>
      <c r="AJ36" s="147"/>
      <c r="AK36" s="147"/>
      <c r="AL36" s="147"/>
    </row>
    <row r="37" spans="1:31" s="29" customFormat="1" ht="15">
      <c r="A37" s="56"/>
      <c r="H37" s="57"/>
      <c r="I37" s="119"/>
      <c r="K37" s="58"/>
      <c r="O37" s="59"/>
      <c r="P37" s="60"/>
      <c r="Q37" s="60"/>
      <c r="R37" s="60"/>
      <c r="S37" s="61"/>
      <c r="T37" s="60"/>
      <c r="U37" s="60"/>
      <c r="V37" s="148"/>
      <c r="W37" s="60"/>
      <c r="X37" s="62"/>
      <c r="Z37" s="134"/>
      <c r="AE37" s="148"/>
    </row>
    <row r="38" spans="1:38" s="29" customFormat="1" ht="15">
      <c r="A38" s="56"/>
      <c r="H38" s="57"/>
      <c r="I38" s="153"/>
      <c r="J38" s="63"/>
      <c r="K38" s="144"/>
      <c r="L38" s="145"/>
      <c r="M38" s="146"/>
      <c r="N38" s="146"/>
      <c r="O38" s="146"/>
      <c r="P38" s="147"/>
      <c r="Q38" s="147"/>
      <c r="R38" s="147"/>
      <c r="S38" s="147"/>
      <c r="T38" s="147"/>
      <c r="U38" s="144"/>
      <c r="V38" s="148"/>
      <c r="W38" s="149"/>
      <c r="X38" s="150"/>
      <c r="Y38" s="151"/>
      <c r="Z38" s="152"/>
      <c r="AA38" s="151"/>
      <c r="AB38" s="149"/>
      <c r="AC38" s="150"/>
      <c r="AD38" s="144"/>
      <c r="AE38" s="148"/>
      <c r="AF38" s="147"/>
      <c r="AG38" s="147"/>
      <c r="AH38" s="147"/>
      <c r="AI38" s="147"/>
      <c r="AJ38" s="147"/>
      <c r="AK38" s="147"/>
      <c r="AL38" s="147"/>
    </row>
    <row r="39" spans="1:31" s="29" customFormat="1" ht="15">
      <c r="A39" s="56"/>
      <c r="H39" s="57"/>
      <c r="I39" s="119"/>
      <c r="K39" s="58"/>
      <c r="O39" s="59"/>
      <c r="P39" s="60"/>
      <c r="Q39" s="60"/>
      <c r="R39" s="60"/>
      <c r="S39" s="61"/>
      <c r="T39" s="60"/>
      <c r="U39" s="60"/>
      <c r="V39" s="148"/>
      <c r="W39" s="60"/>
      <c r="X39" s="62"/>
      <c r="Z39" s="134"/>
      <c r="AE39" s="148"/>
    </row>
    <row r="40" spans="1:31" s="29" customFormat="1" ht="15">
      <c r="A40" s="56"/>
      <c r="H40" s="57"/>
      <c r="I40" s="119"/>
      <c r="K40" s="58"/>
      <c r="O40" s="59"/>
      <c r="P40" s="60"/>
      <c r="Q40" s="60"/>
      <c r="R40" s="60"/>
      <c r="S40" s="61"/>
      <c r="T40" s="60"/>
      <c r="U40" s="60"/>
      <c r="V40" s="148"/>
      <c r="W40" s="60"/>
      <c r="X40" s="62"/>
      <c r="Z40" s="134"/>
      <c r="AE40" s="148"/>
    </row>
    <row r="41" spans="1:38" s="29" customFormat="1" ht="15">
      <c r="A41" s="56"/>
      <c r="H41" s="57"/>
      <c r="I41" s="153"/>
      <c r="J41" s="63"/>
      <c r="K41" s="144"/>
      <c r="L41" s="145"/>
      <c r="M41" s="146"/>
      <c r="N41" s="146"/>
      <c r="O41" s="146"/>
      <c r="P41" s="147"/>
      <c r="Q41" s="147"/>
      <c r="R41" s="147"/>
      <c r="S41" s="147"/>
      <c r="T41" s="147"/>
      <c r="U41" s="144"/>
      <c r="V41" s="148"/>
      <c r="W41" s="149"/>
      <c r="X41" s="150"/>
      <c r="Y41" s="151"/>
      <c r="Z41" s="152"/>
      <c r="AA41" s="151"/>
      <c r="AB41" s="149"/>
      <c r="AC41" s="150"/>
      <c r="AD41" s="144"/>
      <c r="AE41" s="148"/>
      <c r="AF41" s="147"/>
      <c r="AG41" s="147"/>
      <c r="AH41" s="147"/>
      <c r="AI41" s="147"/>
      <c r="AJ41" s="147"/>
      <c r="AK41" s="147"/>
      <c r="AL41" s="147"/>
    </row>
    <row r="42" spans="1:31" s="29" customFormat="1" ht="15">
      <c r="A42" s="56"/>
      <c r="H42" s="57"/>
      <c r="I42" s="119"/>
      <c r="K42" s="58"/>
      <c r="O42" s="59"/>
      <c r="P42" s="60"/>
      <c r="Q42" s="60"/>
      <c r="R42" s="60"/>
      <c r="S42" s="61"/>
      <c r="T42" s="60"/>
      <c r="U42" s="60"/>
      <c r="V42" s="148"/>
      <c r="W42" s="60"/>
      <c r="X42" s="62"/>
      <c r="Z42" s="134"/>
      <c r="AE42" s="148"/>
    </row>
    <row r="43" spans="1:38" s="29" customFormat="1" ht="15">
      <c r="A43" s="56"/>
      <c r="H43" s="57"/>
      <c r="I43" s="153"/>
      <c r="J43" s="63"/>
      <c r="K43" s="144"/>
      <c r="L43" s="145"/>
      <c r="M43" s="146"/>
      <c r="N43" s="146"/>
      <c r="O43" s="146"/>
      <c r="P43" s="147"/>
      <c r="Q43" s="147"/>
      <c r="R43" s="147"/>
      <c r="S43" s="147"/>
      <c r="T43" s="147"/>
      <c r="U43" s="144"/>
      <c r="V43" s="148"/>
      <c r="W43" s="149"/>
      <c r="X43" s="150"/>
      <c r="Y43" s="151"/>
      <c r="Z43" s="152"/>
      <c r="AA43" s="151"/>
      <c r="AB43" s="149"/>
      <c r="AC43" s="150"/>
      <c r="AD43" s="144"/>
      <c r="AE43" s="148"/>
      <c r="AF43" s="147"/>
      <c r="AG43" s="147"/>
      <c r="AH43" s="147"/>
      <c r="AI43" s="147"/>
      <c r="AJ43" s="147"/>
      <c r="AK43" s="147"/>
      <c r="AL43" s="147"/>
    </row>
    <row r="44" spans="1:31" s="29" customFormat="1" ht="15">
      <c r="A44" s="56"/>
      <c r="H44" s="57"/>
      <c r="K44" s="58"/>
      <c r="O44" s="59"/>
      <c r="P44" s="60"/>
      <c r="Q44" s="60"/>
      <c r="R44" s="60"/>
      <c r="S44" s="61"/>
      <c r="T44" s="60"/>
      <c r="U44" s="60"/>
      <c r="V44" s="148"/>
      <c r="W44" s="60"/>
      <c r="X44" s="62"/>
      <c r="Z44" s="134"/>
      <c r="AC44" s="63"/>
      <c r="AD44" s="63"/>
      <c r="AE44" s="148"/>
    </row>
    <row r="45" spans="1:31" s="29" customFormat="1" ht="15">
      <c r="A45" s="64"/>
      <c r="C45" s="63"/>
      <c r="E45" s="63"/>
      <c r="H45" s="57"/>
      <c r="K45" s="58"/>
      <c r="O45" s="59"/>
      <c r="P45" s="60"/>
      <c r="Q45" s="60"/>
      <c r="R45" s="60"/>
      <c r="S45" s="61"/>
      <c r="T45" s="60"/>
      <c r="U45" s="60"/>
      <c r="V45" s="148"/>
      <c r="W45" s="60"/>
      <c r="X45" s="62"/>
      <c r="Z45" s="134"/>
      <c r="AE45" s="148"/>
    </row>
    <row r="46" spans="1:38" s="29" customFormat="1" ht="15">
      <c r="A46" s="64"/>
      <c r="C46" s="63"/>
      <c r="E46" s="63"/>
      <c r="H46" s="57"/>
      <c r="I46" s="63"/>
      <c r="J46" s="63"/>
      <c r="K46" s="144"/>
      <c r="L46" s="145"/>
      <c r="M46" s="146"/>
      <c r="N46" s="146"/>
      <c r="O46" s="146"/>
      <c r="P46" s="147"/>
      <c r="Q46" s="147"/>
      <c r="R46" s="147"/>
      <c r="S46" s="147"/>
      <c r="T46" s="147"/>
      <c r="U46" s="144"/>
      <c r="V46" s="148"/>
      <c r="W46" s="149"/>
      <c r="X46" s="150"/>
      <c r="Y46" s="151"/>
      <c r="Z46" s="152"/>
      <c r="AA46" s="151"/>
      <c r="AB46" s="149"/>
      <c r="AC46" s="150"/>
      <c r="AD46" s="144"/>
      <c r="AE46" s="148"/>
      <c r="AF46" s="147"/>
      <c r="AG46" s="147"/>
      <c r="AH46" s="147"/>
      <c r="AI46" s="147"/>
      <c r="AJ46" s="147"/>
      <c r="AK46" s="147"/>
      <c r="AL46" s="147"/>
    </row>
    <row r="47" spans="1:31" s="29" customFormat="1" ht="15">
      <c r="A47" s="64"/>
      <c r="C47" s="63"/>
      <c r="E47" s="63"/>
      <c r="H47" s="57"/>
      <c r="K47" s="58"/>
      <c r="O47" s="59"/>
      <c r="P47" s="60"/>
      <c r="Q47" s="60"/>
      <c r="R47" s="60"/>
      <c r="S47" s="61"/>
      <c r="T47" s="60"/>
      <c r="U47" s="60"/>
      <c r="V47" s="148"/>
      <c r="W47" s="60"/>
      <c r="X47" s="62"/>
      <c r="Z47" s="134"/>
      <c r="AE47" s="148"/>
    </row>
    <row r="48" spans="1:38" s="29" customFormat="1" ht="15">
      <c r="A48" s="64"/>
      <c r="C48" s="63"/>
      <c r="E48" s="63"/>
      <c r="H48" s="57"/>
      <c r="I48" s="63"/>
      <c r="J48" s="63"/>
      <c r="K48" s="144"/>
      <c r="L48" s="145"/>
      <c r="M48" s="146"/>
      <c r="N48" s="146"/>
      <c r="O48" s="146"/>
      <c r="P48" s="147"/>
      <c r="Q48" s="147"/>
      <c r="R48" s="147"/>
      <c r="S48" s="147"/>
      <c r="T48" s="147"/>
      <c r="U48" s="144"/>
      <c r="V48" s="148"/>
      <c r="W48" s="149"/>
      <c r="X48" s="150"/>
      <c r="Y48" s="151"/>
      <c r="Z48" s="152"/>
      <c r="AA48" s="151"/>
      <c r="AB48" s="149"/>
      <c r="AC48" s="150"/>
      <c r="AD48" s="144"/>
      <c r="AE48" s="148"/>
      <c r="AF48" s="147"/>
      <c r="AG48" s="147"/>
      <c r="AH48" s="147"/>
      <c r="AI48" s="147"/>
      <c r="AJ48" s="147"/>
      <c r="AK48" s="147"/>
      <c r="AL48" s="147"/>
    </row>
    <row r="49" spans="1:31" s="29" customFormat="1" ht="15">
      <c r="A49" s="64"/>
      <c r="C49" s="63"/>
      <c r="E49" s="63"/>
      <c r="H49" s="57"/>
      <c r="K49" s="58"/>
      <c r="O49" s="59"/>
      <c r="P49" s="60"/>
      <c r="Q49" s="60"/>
      <c r="R49" s="60"/>
      <c r="S49" s="61"/>
      <c r="T49" s="60"/>
      <c r="U49" s="60"/>
      <c r="V49" s="148"/>
      <c r="W49" s="60"/>
      <c r="X49" s="62"/>
      <c r="Z49" s="134"/>
      <c r="AE49" s="148"/>
    </row>
    <row r="50" spans="1:38" s="63" customFormat="1" ht="15">
      <c r="A50" s="64"/>
      <c r="B50" s="29"/>
      <c r="D50" s="29"/>
      <c r="F50" s="29"/>
      <c r="G50" s="29"/>
      <c r="H50" s="57"/>
      <c r="I50" s="29"/>
      <c r="J50" s="29"/>
      <c r="K50" s="58"/>
      <c r="L50" s="29"/>
      <c r="M50" s="29"/>
      <c r="N50" s="29"/>
      <c r="O50" s="59"/>
      <c r="P50" s="60"/>
      <c r="Q50" s="60"/>
      <c r="R50" s="60"/>
      <c r="S50" s="61"/>
      <c r="T50" s="60"/>
      <c r="U50" s="60"/>
      <c r="V50" s="148"/>
      <c r="W50" s="60"/>
      <c r="X50" s="62"/>
      <c r="Y50" s="29"/>
      <c r="Z50" s="134"/>
      <c r="AA50" s="29"/>
      <c r="AB50" s="29"/>
      <c r="AE50" s="148"/>
      <c r="AF50" s="29"/>
      <c r="AG50" s="29"/>
      <c r="AH50" s="29"/>
      <c r="AI50" s="29"/>
      <c r="AJ50" s="29"/>
      <c r="AK50" s="29"/>
      <c r="AL50" s="29"/>
    </row>
    <row r="51" spans="1:38" s="29" customFormat="1" ht="15">
      <c r="A51" s="64"/>
      <c r="C51" s="63"/>
      <c r="E51" s="63"/>
      <c r="H51" s="57"/>
      <c r="I51" s="63"/>
      <c r="J51" s="63"/>
      <c r="K51" s="144"/>
      <c r="L51" s="145"/>
      <c r="M51" s="146"/>
      <c r="N51" s="146"/>
      <c r="O51" s="146"/>
      <c r="P51" s="147"/>
      <c r="Q51" s="147"/>
      <c r="R51" s="147"/>
      <c r="S51" s="147"/>
      <c r="T51" s="147"/>
      <c r="U51" s="144"/>
      <c r="V51" s="148"/>
      <c r="W51" s="149"/>
      <c r="X51" s="150"/>
      <c r="Y51" s="151"/>
      <c r="Z51" s="152"/>
      <c r="AA51" s="151"/>
      <c r="AB51" s="149"/>
      <c r="AC51" s="150"/>
      <c r="AD51" s="144"/>
      <c r="AE51" s="148"/>
      <c r="AF51" s="147"/>
      <c r="AG51" s="147"/>
      <c r="AH51" s="147"/>
      <c r="AI51" s="147"/>
      <c r="AJ51" s="147"/>
      <c r="AK51" s="147"/>
      <c r="AL51" s="147"/>
    </row>
    <row r="52" spans="8:52" ht="15">
      <c r="H52" s="57"/>
      <c r="I52" s="29"/>
      <c r="J52" s="29"/>
      <c r="K52" s="58"/>
      <c r="L52" s="29"/>
      <c r="M52" s="29"/>
      <c r="N52" s="29"/>
      <c r="O52" s="59"/>
      <c r="P52" s="60"/>
      <c r="Q52" s="60"/>
      <c r="R52" s="60"/>
      <c r="S52" s="61"/>
      <c r="T52" s="60"/>
      <c r="U52" s="60"/>
      <c r="V52" s="148"/>
      <c r="W52" s="60"/>
      <c r="X52" s="62"/>
      <c r="Y52" s="29"/>
      <c r="Z52" s="134"/>
      <c r="AA52" s="29"/>
      <c r="AB52" s="29"/>
      <c r="AC52" s="29"/>
      <c r="AD52" s="29"/>
      <c r="AE52" s="148"/>
      <c r="AF52" s="29"/>
      <c r="AG52" s="29"/>
      <c r="AH52" s="29"/>
      <c r="AI52" s="29"/>
      <c r="AJ52" s="29"/>
      <c r="AK52" s="29"/>
      <c r="AL52" s="29"/>
      <c r="AM52" s="29"/>
      <c r="AZ52" s="7"/>
    </row>
    <row r="53" spans="8:52" ht="15.75" thickBot="1">
      <c r="H53" s="57"/>
      <c r="I53" s="63"/>
      <c r="J53" s="63"/>
      <c r="K53" s="144"/>
      <c r="L53" s="145"/>
      <c r="M53" s="146"/>
      <c r="N53" s="146"/>
      <c r="O53" s="146"/>
      <c r="P53" s="147"/>
      <c r="Q53" s="147"/>
      <c r="R53" s="147"/>
      <c r="S53" s="147"/>
      <c r="T53" s="147"/>
      <c r="U53" s="144"/>
      <c r="V53" s="148"/>
      <c r="W53" s="149"/>
      <c r="X53" s="150"/>
      <c r="Y53" s="151"/>
      <c r="Z53" s="154"/>
      <c r="AA53" s="151"/>
      <c r="AB53" s="149"/>
      <c r="AC53" s="150"/>
      <c r="AD53" s="144"/>
      <c r="AE53" s="148"/>
      <c r="AF53" s="147"/>
      <c r="AG53" s="147"/>
      <c r="AH53" s="147"/>
      <c r="AI53" s="147"/>
      <c r="AJ53" s="147"/>
      <c r="AK53" s="147"/>
      <c r="AL53" s="147"/>
      <c r="AM53" s="29"/>
      <c r="AZ53" s="7"/>
    </row>
    <row r="54" spans="8:52" ht="15">
      <c r="H54" s="57"/>
      <c r="I54" s="29"/>
      <c r="J54" s="29"/>
      <c r="K54" s="58"/>
      <c r="L54" s="29"/>
      <c r="M54" s="29"/>
      <c r="N54" s="29"/>
      <c r="O54" s="29"/>
      <c r="P54" s="60"/>
      <c r="Q54" s="60"/>
      <c r="R54" s="60"/>
      <c r="S54" s="61"/>
      <c r="T54" s="60"/>
      <c r="U54" s="60"/>
      <c r="V54" s="60"/>
      <c r="W54" s="60"/>
      <c r="X54" s="62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Z54" s="7"/>
    </row>
    <row r="55" spans="8:52" ht="15">
      <c r="H55" s="57"/>
      <c r="I55" s="29"/>
      <c r="J55" s="29"/>
      <c r="K55" s="58"/>
      <c r="L55" s="29"/>
      <c r="M55" s="29"/>
      <c r="N55" s="29"/>
      <c r="O55" s="29"/>
      <c r="P55" s="60"/>
      <c r="Q55" s="60"/>
      <c r="R55" s="60"/>
      <c r="S55" s="61"/>
      <c r="T55" s="60"/>
      <c r="U55" s="60"/>
      <c r="V55" s="60"/>
      <c r="W55" s="60"/>
      <c r="X55" s="62"/>
      <c r="Y55" s="29"/>
      <c r="Z55" s="29"/>
      <c r="AA55" s="29"/>
      <c r="AB55" s="29"/>
      <c r="AC55" s="63"/>
      <c r="AD55" s="63"/>
      <c r="AE55" s="63"/>
      <c r="AF55" s="29"/>
      <c r="AG55" s="29"/>
      <c r="AH55" s="29"/>
      <c r="AI55" s="29"/>
      <c r="AJ55" s="29"/>
      <c r="AK55" s="29"/>
      <c r="AL55" s="29"/>
      <c r="AM55" s="29"/>
      <c r="AZ55" s="7"/>
    </row>
    <row r="56" spans="8:52" ht="15">
      <c r="H56" s="57"/>
      <c r="I56" s="29"/>
      <c r="J56" s="29"/>
      <c r="K56" s="58"/>
      <c r="L56" s="29"/>
      <c r="M56" s="29"/>
      <c r="N56" s="29"/>
      <c r="O56" s="29"/>
      <c r="P56" s="60"/>
      <c r="Q56" s="60"/>
      <c r="R56" s="60"/>
      <c r="S56" s="61"/>
      <c r="T56" s="60"/>
      <c r="U56" s="60"/>
      <c r="V56" s="60"/>
      <c r="W56" s="60"/>
      <c r="X56" s="62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Z56" s="7"/>
    </row>
    <row r="57" spans="8:52" ht="15">
      <c r="H57" s="57"/>
      <c r="I57" s="29"/>
      <c r="J57" s="29"/>
      <c r="K57" s="58"/>
      <c r="L57" s="29"/>
      <c r="M57" s="29"/>
      <c r="N57" s="29"/>
      <c r="O57" s="29"/>
      <c r="P57" s="60"/>
      <c r="Q57" s="60"/>
      <c r="R57" s="60"/>
      <c r="S57" s="61"/>
      <c r="T57" s="60"/>
      <c r="U57" s="60"/>
      <c r="V57" s="60"/>
      <c r="W57" s="60"/>
      <c r="X57" s="62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Z57" s="7"/>
    </row>
    <row r="58" spans="8:52" ht="15">
      <c r="H58" s="57"/>
      <c r="I58" s="29"/>
      <c r="J58" s="29"/>
      <c r="K58" s="58"/>
      <c r="L58" s="29"/>
      <c r="M58" s="29"/>
      <c r="N58" s="29"/>
      <c r="O58" s="29"/>
      <c r="P58" s="60"/>
      <c r="Q58" s="60"/>
      <c r="R58" s="60"/>
      <c r="S58" s="61"/>
      <c r="T58" s="60"/>
      <c r="U58" s="60"/>
      <c r="V58" s="60"/>
      <c r="W58" s="60"/>
      <c r="X58" s="62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Z58" s="7"/>
    </row>
    <row r="59" spans="2:39" s="9" customFormat="1" ht="15">
      <c r="B59" s="65"/>
      <c r="C59" s="65"/>
      <c r="H59" s="157"/>
      <c r="I59" s="63"/>
      <c r="J59" s="63"/>
      <c r="K59" s="58"/>
      <c r="L59" s="63"/>
      <c r="M59" s="63"/>
      <c r="N59" s="63"/>
      <c r="O59" s="63"/>
      <c r="P59" s="60"/>
      <c r="Q59" s="60"/>
      <c r="R59" s="60"/>
      <c r="S59" s="61"/>
      <c r="T59" s="60"/>
      <c r="U59" s="60"/>
      <c r="V59" s="60"/>
      <c r="W59" s="60"/>
      <c r="X59" s="62"/>
      <c r="Y59" s="63"/>
      <c r="Z59" s="63"/>
      <c r="AA59" s="63"/>
      <c r="AB59" s="63"/>
      <c r="AC59" s="29"/>
      <c r="AD59" s="29"/>
      <c r="AE59" s="29"/>
      <c r="AF59" s="63"/>
      <c r="AG59" s="63"/>
      <c r="AH59" s="63"/>
      <c r="AI59" s="63"/>
      <c r="AJ59" s="63"/>
      <c r="AK59" s="63"/>
      <c r="AL59" s="63"/>
      <c r="AM59" s="63"/>
    </row>
    <row r="60" spans="8:52" ht="15">
      <c r="H60" s="57"/>
      <c r="I60" s="29"/>
      <c r="J60" s="29"/>
      <c r="K60" s="58"/>
      <c r="L60" s="29"/>
      <c r="M60" s="29"/>
      <c r="N60" s="29"/>
      <c r="O60" s="29"/>
      <c r="P60" s="60"/>
      <c r="Q60" s="60"/>
      <c r="R60" s="60"/>
      <c r="S60" s="61"/>
      <c r="T60" s="60"/>
      <c r="U60" s="60"/>
      <c r="V60" s="60"/>
      <c r="W60" s="60"/>
      <c r="X60" s="62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Z60" s="7"/>
    </row>
    <row r="61" spans="8:52" ht="15">
      <c r="H61" s="57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158"/>
      <c r="T61" s="29"/>
      <c r="U61" s="29"/>
      <c r="V61" s="29"/>
      <c r="W61" s="29"/>
      <c r="X61" s="15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Z61" s="7"/>
    </row>
    <row r="62" spans="8:52" ht="15">
      <c r="H62" s="57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158"/>
      <c r="T62" s="29"/>
      <c r="U62" s="29"/>
      <c r="V62" s="29"/>
      <c r="W62" s="29"/>
      <c r="X62" s="15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Z62" s="7"/>
    </row>
    <row r="63" spans="8:52" ht="15">
      <c r="H63" s="57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58"/>
      <c r="T63" s="29"/>
      <c r="U63" s="29"/>
      <c r="V63" s="29"/>
      <c r="W63" s="29"/>
      <c r="X63" s="15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Z63" s="7"/>
    </row>
    <row r="64" spans="8:52" ht="15">
      <c r="H64" s="57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158"/>
      <c r="T64" s="29"/>
      <c r="U64" s="29"/>
      <c r="V64" s="29"/>
      <c r="W64" s="29"/>
      <c r="X64" s="15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Z64" s="7"/>
    </row>
    <row r="65" spans="8:52" ht="15">
      <c r="H65" s="57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58"/>
      <c r="T65" s="29"/>
      <c r="U65" s="29"/>
      <c r="V65" s="29"/>
      <c r="W65" s="29"/>
      <c r="X65" s="15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Z65" s="7"/>
    </row>
    <row r="66" spans="8:52" ht="15">
      <c r="H66" s="57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158"/>
      <c r="T66" s="29"/>
      <c r="U66" s="29"/>
      <c r="V66" s="29"/>
      <c r="W66" s="29"/>
      <c r="X66" s="15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Z66" s="7"/>
    </row>
    <row r="67" spans="13:52" ht="15">
      <c r="M67" s="7"/>
      <c r="N67" s="7"/>
      <c r="O67" s="7"/>
      <c r="AF67" s="7"/>
      <c r="AG67" s="7"/>
      <c r="AH67" s="7"/>
      <c r="AI67" s="7"/>
      <c r="AZ67" s="7"/>
    </row>
    <row r="68" spans="13:52" ht="15">
      <c r="M68" s="7"/>
      <c r="N68" s="7"/>
      <c r="O68" s="7"/>
      <c r="AF68" s="7"/>
      <c r="AG68" s="7"/>
      <c r="AH68" s="7"/>
      <c r="AI68" s="7"/>
      <c r="AZ68" s="7"/>
    </row>
    <row r="69" spans="13:52" ht="15">
      <c r="M69" s="7"/>
      <c r="N69" s="7"/>
      <c r="O69" s="7"/>
      <c r="AF69" s="7"/>
      <c r="AG69" s="7"/>
      <c r="AH69" s="7"/>
      <c r="AI69" s="7"/>
      <c r="AZ69" s="7"/>
    </row>
    <row r="70" spans="13:52" ht="15">
      <c r="M70" s="7"/>
      <c r="N70" s="7"/>
      <c r="O70" s="7"/>
      <c r="AF70" s="7"/>
      <c r="AG70" s="7"/>
      <c r="AH70" s="7"/>
      <c r="AI70" s="7"/>
      <c r="AZ70" s="7"/>
    </row>
    <row r="71" spans="13:52" ht="15">
      <c r="M71" s="7"/>
      <c r="N71" s="7"/>
      <c r="O71" s="7"/>
      <c r="AF71" s="7"/>
      <c r="AG71" s="7"/>
      <c r="AH71" s="7"/>
      <c r="AI71" s="7"/>
      <c r="AZ71" s="7"/>
    </row>
    <row r="72" spans="13:52" ht="15">
      <c r="M72" s="7"/>
      <c r="N72" s="7"/>
      <c r="O72" s="7"/>
      <c r="AF72" s="7"/>
      <c r="AG72" s="7"/>
      <c r="AH72" s="7"/>
      <c r="AI72" s="7"/>
      <c r="AZ72" s="7"/>
    </row>
    <row r="73" spans="13:52" ht="15">
      <c r="M73" s="7"/>
      <c r="N73" s="7"/>
      <c r="O73" s="7"/>
      <c r="AF73" s="7"/>
      <c r="AG73" s="7"/>
      <c r="AH73" s="7"/>
      <c r="AI73" s="7"/>
      <c r="AZ73" s="7"/>
    </row>
    <row r="74" spans="13:52" ht="15">
      <c r="M74" s="7"/>
      <c r="N74" s="7"/>
      <c r="O74" s="7"/>
      <c r="AF74" s="7"/>
      <c r="AG74" s="7"/>
      <c r="AH74" s="7"/>
      <c r="AI74" s="7"/>
      <c r="AZ74" s="7"/>
    </row>
    <row r="75" spans="13:52" ht="15">
      <c r="M75" s="7"/>
      <c r="N75" s="7"/>
      <c r="O75" s="7"/>
      <c r="AF75" s="7"/>
      <c r="AG75" s="7"/>
      <c r="AH75" s="7"/>
      <c r="AI75" s="7"/>
      <c r="AZ75" s="7"/>
    </row>
    <row r="76" spans="13:52" ht="15">
      <c r="M76" s="7"/>
      <c r="N76" s="7"/>
      <c r="O76" s="7"/>
      <c r="AF76" s="7"/>
      <c r="AG76" s="7"/>
      <c r="AH76" s="7"/>
      <c r="AI76" s="7"/>
      <c r="AZ76" s="7"/>
    </row>
    <row r="77" spans="13:52" ht="15">
      <c r="M77" s="7"/>
      <c r="N77" s="7"/>
      <c r="O77" s="7"/>
      <c r="AF77" s="7"/>
      <c r="AG77" s="7"/>
      <c r="AH77" s="7"/>
      <c r="AI77" s="7"/>
      <c r="AZ77" s="7"/>
    </row>
    <row r="78" spans="13:52" ht="15">
      <c r="M78" s="7"/>
      <c r="N78" s="7"/>
      <c r="O78" s="7"/>
      <c r="AF78" s="7"/>
      <c r="AG78" s="7"/>
      <c r="AH78" s="7"/>
      <c r="AI78" s="7"/>
      <c r="AZ78" s="7"/>
    </row>
    <row r="79" spans="13:52" ht="15">
      <c r="M79" s="7"/>
      <c r="N79" s="7"/>
      <c r="O79" s="7"/>
      <c r="AF79" s="7"/>
      <c r="AG79" s="7"/>
      <c r="AH79" s="7"/>
      <c r="AI79" s="7"/>
      <c r="AZ79" s="7"/>
    </row>
  </sheetData>
  <mergeCells count="17">
    <mergeCell ref="A1:H1"/>
    <mergeCell ref="A2:H2"/>
    <mergeCell ref="A3:H3"/>
    <mergeCell ref="G6:H6"/>
    <mergeCell ref="G8:H8"/>
    <mergeCell ref="AU10:AX10"/>
    <mergeCell ref="G21:G29"/>
    <mergeCell ref="W8:AD8"/>
    <mergeCell ref="AF8:AI8"/>
    <mergeCell ref="AK8:AK9"/>
    <mergeCell ref="A9:O9"/>
    <mergeCell ref="P9:T9"/>
    <mergeCell ref="W9:X9"/>
    <mergeCell ref="AB9:AD9"/>
    <mergeCell ref="AF9:AH9"/>
    <mergeCell ref="AI9:AJ9"/>
    <mergeCell ref="P8:U8"/>
  </mergeCells>
  <dataValidations count="2">
    <dataValidation type="list" allowBlank="1" showInputMessage="1" showErrorMessage="1" sqref="G12:G17">
      <formula1>'3-3 Load Table Revised'!$A$1:$A$12</formula1>
    </dataValidation>
    <dataValidation type="list" allowBlank="1" showInputMessage="1" showErrorMessage="1" sqref="L12:L17">
      <formula1>'3-3 Load Table Revised'!$D$1:$D$11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D30" sqref="D30"/>
    </sheetView>
  </sheetViews>
  <sheetFormatPr defaultColWidth="8.8515625" defaultRowHeight="15"/>
  <cols>
    <col min="1" max="1" width="24.28125" style="0" bestFit="1" customWidth="1"/>
    <col min="2" max="2" width="24.28125" style="0" customWidth="1"/>
    <col min="3" max="3" width="14.7109375" style="0" bestFit="1" customWidth="1"/>
    <col min="4" max="5" width="14.7109375" style="0" customWidth="1"/>
    <col min="6" max="6" width="20.00390625" style="0" bestFit="1" customWidth="1"/>
    <col min="8" max="8" width="29.00390625" style="0" bestFit="1" customWidth="1"/>
  </cols>
  <sheetData>
    <row r="1" spans="1:8" ht="15.75" thickBot="1">
      <c r="A1" s="84" t="s">
        <v>15</v>
      </c>
      <c r="B1" s="84" t="s">
        <v>18</v>
      </c>
      <c r="C1" s="84" t="s">
        <v>72</v>
      </c>
      <c r="D1" s="107" t="s">
        <v>85</v>
      </c>
      <c r="E1" s="84" t="s">
        <v>86</v>
      </c>
      <c r="F1" s="106" t="s">
        <v>54</v>
      </c>
      <c r="G1" s="34">
        <v>0.2871</v>
      </c>
      <c r="H1" s="35" t="s">
        <v>55</v>
      </c>
    </row>
    <row r="2" spans="1:8" ht="15">
      <c r="A2" s="77" t="s">
        <v>89</v>
      </c>
      <c r="B2" s="79" t="s">
        <v>87</v>
      </c>
      <c r="C2" s="77">
        <v>1</v>
      </c>
      <c r="D2" s="108" t="s">
        <v>48</v>
      </c>
      <c r="E2" s="77">
        <v>0.025</v>
      </c>
      <c r="F2" s="102" t="s">
        <v>54</v>
      </c>
      <c r="G2" s="38">
        <v>0.0668</v>
      </c>
      <c r="H2" s="39" t="s">
        <v>57</v>
      </c>
    </row>
    <row r="3" spans="1:8" ht="15">
      <c r="A3" s="77" t="s">
        <v>91</v>
      </c>
      <c r="B3" s="79" t="s">
        <v>88</v>
      </c>
      <c r="C3" s="77">
        <v>1</v>
      </c>
      <c r="D3" s="108" t="s">
        <v>49</v>
      </c>
      <c r="E3" s="77">
        <v>0.025</v>
      </c>
      <c r="F3" s="102" t="s">
        <v>54</v>
      </c>
      <c r="G3" s="38">
        <v>0.0626</v>
      </c>
      <c r="H3" s="39" t="s">
        <v>59</v>
      </c>
    </row>
    <row r="4" spans="1:8" ht="15">
      <c r="A4" s="77" t="s">
        <v>92</v>
      </c>
      <c r="B4" s="79" t="s">
        <v>90</v>
      </c>
      <c r="C4" s="77">
        <v>1</v>
      </c>
      <c r="D4" s="108" t="s">
        <v>75</v>
      </c>
      <c r="E4" s="77">
        <v>0.025</v>
      </c>
      <c r="F4" s="102" t="s">
        <v>54</v>
      </c>
      <c r="G4" s="38">
        <v>0.002</v>
      </c>
      <c r="H4" s="39" t="s">
        <v>61</v>
      </c>
    </row>
    <row r="5" spans="1:8" ht="15">
      <c r="A5" s="77" t="s">
        <v>45</v>
      </c>
      <c r="B5" s="80">
        <v>70311</v>
      </c>
      <c r="C5" s="77">
        <v>2</v>
      </c>
      <c r="D5" s="108" t="s">
        <v>47</v>
      </c>
      <c r="E5" s="77">
        <v>0.025</v>
      </c>
      <c r="F5" s="102" t="s">
        <v>54</v>
      </c>
      <c r="G5" s="38">
        <v>0.0626</v>
      </c>
      <c r="H5" s="39" t="s">
        <v>62</v>
      </c>
    </row>
    <row r="6" spans="1:8" ht="15">
      <c r="A6" s="77" t="s">
        <v>42</v>
      </c>
      <c r="B6" s="80">
        <v>40000</v>
      </c>
      <c r="C6" s="77">
        <v>1</v>
      </c>
      <c r="D6" s="108" t="s">
        <v>78</v>
      </c>
      <c r="E6" s="77">
        <v>0.025</v>
      </c>
      <c r="F6" s="102" t="s">
        <v>54</v>
      </c>
      <c r="G6" s="38">
        <v>0.1624</v>
      </c>
      <c r="H6" s="39" t="s">
        <v>63</v>
      </c>
    </row>
    <row r="7" spans="1:8" ht="15">
      <c r="A7" s="83" t="s">
        <v>46</v>
      </c>
      <c r="B7" s="80">
        <v>40000</v>
      </c>
      <c r="C7" s="77">
        <v>1</v>
      </c>
      <c r="D7" s="108" t="s">
        <v>77</v>
      </c>
      <c r="E7" s="77">
        <v>0.025</v>
      </c>
      <c r="F7" s="102" t="s">
        <v>54</v>
      </c>
      <c r="G7" s="44">
        <v>240.12</v>
      </c>
      <c r="H7" s="45" t="s">
        <v>64</v>
      </c>
    </row>
    <row r="8" spans="1:8" ht="15.75" thickBot="1">
      <c r="A8" s="83" t="s">
        <v>84</v>
      </c>
      <c r="B8" s="80">
        <v>39550</v>
      </c>
      <c r="C8" s="77">
        <v>1</v>
      </c>
      <c r="D8" s="108" t="s">
        <v>76</v>
      </c>
      <c r="E8" s="77">
        <v>0.025</v>
      </c>
      <c r="F8" s="103" t="s">
        <v>54</v>
      </c>
      <c r="G8" s="47">
        <v>409.94</v>
      </c>
      <c r="H8" s="48" t="s">
        <v>65</v>
      </c>
    </row>
    <row r="9" spans="1:8" ht="15">
      <c r="A9" s="77" t="s">
        <v>71</v>
      </c>
      <c r="B9" s="80">
        <v>32000</v>
      </c>
      <c r="C9" s="77">
        <v>1</v>
      </c>
      <c r="D9" s="108" t="s">
        <v>74</v>
      </c>
      <c r="E9" s="77">
        <v>0.025</v>
      </c>
      <c r="H9" s="104"/>
    </row>
    <row r="10" spans="1:8" ht="15">
      <c r="A10" s="83" t="s">
        <v>73</v>
      </c>
      <c r="B10" s="81">
        <v>62424</v>
      </c>
      <c r="C10" s="77">
        <v>1</v>
      </c>
      <c r="D10" s="108" t="s">
        <v>50</v>
      </c>
      <c r="E10" s="77">
        <v>0.025</v>
      </c>
      <c r="H10" s="104"/>
    </row>
    <row r="11" spans="1:8" ht="15.75" thickBot="1">
      <c r="A11" s="77" t="s">
        <v>43</v>
      </c>
      <c r="B11" s="80">
        <v>43621</v>
      </c>
      <c r="C11" s="77">
        <v>1</v>
      </c>
      <c r="D11" s="109" t="s">
        <v>51</v>
      </c>
      <c r="E11" s="78">
        <v>0.04</v>
      </c>
      <c r="H11" s="104"/>
    </row>
    <row r="12" spans="1:5" ht="15.75" thickBot="1">
      <c r="A12" s="78" t="s">
        <v>44</v>
      </c>
      <c r="B12" s="82">
        <v>91800</v>
      </c>
      <c r="C12" s="78">
        <v>1</v>
      </c>
      <c r="D12" s="104"/>
      <c r="E12" s="104"/>
    </row>
    <row r="13" spans="1:5" ht="15">
      <c r="A13" s="104"/>
      <c r="B13" s="105"/>
      <c r="C13" s="104"/>
      <c r="D13" s="104"/>
      <c r="E13" s="104"/>
    </row>
    <row r="14" spans="1:5" ht="15">
      <c r="A14" s="104"/>
      <c r="B14" s="105"/>
      <c r="C14" s="104"/>
      <c r="D14" s="104"/>
      <c r="E14" s="104"/>
    </row>
    <row r="15" spans="1:5" ht="15">
      <c r="A15" s="104"/>
      <c r="B15" s="105"/>
      <c r="C15" s="104"/>
      <c r="D15" s="104"/>
      <c r="E15" s="104"/>
    </row>
    <row r="16" spans="1:5" ht="15">
      <c r="A16" s="104"/>
      <c r="B16" s="105"/>
      <c r="C16" s="104"/>
      <c r="D16" s="104"/>
      <c r="E16" s="104"/>
    </row>
    <row r="17" spans="1:3" ht="15">
      <c r="A17" s="104"/>
      <c r="B17" s="105"/>
      <c r="C17" s="104"/>
    </row>
    <row r="18" spans="1:19" ht="15.75">
      <c r="A18" s="104"/>
      <c r="B18" s="105"/>
      <c r="C18" s="104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  <c r="R18" s="32"/>
      <c r="S18" s="32"/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4:19" ht="15.7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"/>
      <c r="P20" s="1"/>
      <c r="Q20" s="33"/>
      <c r="R20" s="1"/>
      <c r="S20" s="1"/>
    </row>
    <row r="21" spans="1:19" ht="15.75">
      <c r="A21" s="31" t="s">
        <v>53</v>
      </c>
      <c r="B21" s="31"/>
      <c r="C21" s="31"/>
      <c r="D21" s="43"/>
      <c r="E21" s="43"/>
      <c r="F21" s="43"/>
      <c r="G21" s="43"/>
      <c r="H21" s="43"/>
      <c r="I21" s="43"/>
      <c r="J21" s="43"/>
      <c r="K21" s="43"/>
      <c r="L21" s="2"/>
      <c r="M21" s="1"/>
      <c r="N21" s="1"/>
      <c r="O21" s="1"/>
      <c r="P21" s="1"/>
      <c r="Q21" s="33"/>
      <c r="R21" s="1"/>
      <c r="S21" s="1"/>
    </row>
    <row r="22" spans="1:3" ht="15">
      <c r="A22" s="31" t="s">
        <v>56</v>
      </c>
      <c r="B22" s="31"/>
      <c r="C22" s="31"/>
    </row>
    <row r="23" spans="1:3" ht="15">
      <c r="A23" s="31" t="s">
        <v>58</v>
      </c>
      <c r="B23" s="31"/>
      <c r="C23" s="31"/>
    </row>
    <row r="24" spans="1:3" ht="15">
      <c r="A24" s="42" t="s">
        <v>60</v>
      </c>
      <c r="B24" s="43"/>
      <c r="C24" s="4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79"/>
  <sheetViews>
    <sheetView tabSelected="1" workbookViewId="0" topLeftCell="A1">
      <selection activeCell="E6" sqref="E6"/>
    </sheetView>
  </sheetViews>
  <sheetFormatPr defaultColWidth="9.140625" defaultRowHeight="15"/>
  <cols>
    <col min="1" max="1" width="13.140625" style="7" customWidth="1"/>
    <col min="2" max="2" width="9.28125" style="49" customWidth="1"/>
    <col min="3" max="3" width="11.28125" style="49" customWidth="1"/>
    <col min="4" max="4" width="34.7109375" style="7" customWidth="1"/>
    <col min="5" max="5" width="17.00390625" style="7" bestFit="1" customWidth="1"/>
    <col min="6" max="7" width="9.140625" style="7" customWidth="1"/>
    <col min="8" max="8" width="34.28125" style="7" bestFit="1" customWidth="1"/>
    <col min="9" max="9" width="9.140625" style="49" customWidth="1"/>
    <col min="10" max="10" width="11.28125" style="7" customWidth="1"/>
    <col min="11" max="11" width="12.57421875" style="7" bestFit="1" customWidth="1"/>
    <col min="12" max="12" width="12.57421875" style="7" customWidth="1"/>
    <col min="13" max="13" width="10.28125" style="6" customWidth="1"/>
    <col min="14" max="14" width="11.57421875" style="6" bestFit="1" customWidth="1"/>
    <col min="15" max="16" width="11.57421875" style="7" bestFit="1" customWidth="1"/>
    <col min="17" max="17" width="15.00390625" style="7" customWidth="1"/>
    <col min="18" max="18" width="12.421875" style="36" bestFit="1" customWidth="1"/>
    <col min="19" max="19" width="14.8515625" style="7" bestFit="1" customWidth="1"/>
    <col min="20" max="20" width="15.00390625" style="7" customWidth="1"/>
    <col min="21" max="21" width="4.421875" style="7" customWidth="1"/>
    <col min="22" max="22" width="11.57421875" style="7" bestFit="1" customWidth="1"/>
    <col min="23" max="23" width="11.28125" style="50" bestFit="1" customWidth="1"/>
    <col min="24" max="24" width="15.00390625" style="7" bestFit="1" customWidth="1"/>
    <col min="25" max="25" width="12.57421875" style="7" bestFit="1" customWidth="1"/>
    <col min="26" max="26" width="11.57421875" style="7" bestFit="1" customWidth="1"/>
    <col min="27" max="27" width="10.57421875" style="7" bestFit="1" customWidth="1"/>
    <col min="28" max="28" width="8.8515625" style="7" bestFit="1" customWidth="1"/>
    <col min="29" max="29" width="11.57421875" style="7" bestFit="1" customWidth="1"/>
    <col min="30" max="30" width="4.421875" style="7" customWidth="1"/>
    <col min="31" max="31" width="11.57421875" style="66" bestFit="1" customWidth="1"/>
    <col min="32" max="32" width="11.57421875" style="36" bestFit="1" customWidth="1"/>
    <col min="33" max="33" width="11.57421875" style="66" bestFit="1" customWidth="1"/>
    <col min="34" max="34" width="11.8515625" style="66" customWidth="1"/>
    <col min="35" max="35" width="15.28125" style="7" bestFit="1" customWidth="1"/>
    <col min="36" max="36" width="11.8515625" style="7" customWidth="1"/>
    <col min="37" max="37" width="16.57421875" style="7" bestFit="1" customWidth="1"/>
    <col min="38" max="46" width="11.8515625" style="7" customWidth="1"/>
    <col min="47" max="50" width="9.140625" style="7" customWidth="1"/>
    <col min="51" max="51" width="9.140625" style="37" customWidth="1"/>
    <col min="52" max="16384" width="9.140625" style="7" customWidth="1"/>
  </cols>
  <sheetData>
    <row r="1" spans="1:50" ht="15.75">
      <c r="A1" s="217" t="s">
        <v>52</v>
      </c>
      <c r="B1" s="217"/>
      <c r="C1" s="217"/>
      <c r="D1" s="217"/>
      <c r="E1" s="217"/>
      <c r="F1" s="217"/>
      <c r="G1" s="217"/>
      <c r="H1" s="217"/>
      <c r="I1" s="217"/>
      <c r="Z1" s="1"/>
      <c r="AA1" s="1"/>
      <c r="AE1" s="3"/>
      <c r="AF1" s="2"/>
      <c r="AG1" s="3"/>
      <c r="AH1" s="3"/>
      <c r="AJ1" s="1"/>
      <c r="AK1" s="1"/>
      <c r="AL1" s="1"/>
      <c r="AM1" s="1"/>
      <c r="AN1" s="1"/>
      <c r="AO1" s="1"/>
      <c r="AP1" s="1"/>
      <c r="AQ1" s="1"/>
      <c r="AR1" s="4"/>
      <c r="AS1" s="4"/>
      <c r="AT1" s="4"/>
      <c r="AV1" s="36"/>
      <c r="AW1" s="36"/>
      <c r="AX1" s="36"/>
    </row>
    <row r="2" spans="1:50" ht="15.75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Z2" s="1"/>
      <c r="AA2" s="1"/>
      <c r="AE2" s="3"/>
      <c r="AF2" s="2"/>
      <c r="AG2" s="3"/>
      <c r="AH2" s="3"/>
      <c r="AJ2" s="1"/>
      <c r="AK2" s="1"/>
      <c r="AL2" s="1"/>
      <c r="AM2" s="1"/>
      <c r="AN2" s="1"/>
      <c r="AO2" s="1"/>
      <c r="AP2" s="1"/>
      <c r="AQ2" s="1"/>
      <c r="AR2" s="4"/>
      <c r="AS2" s="4"/>
      <c r="AT2" s="4"/>
      <c r="AV2" s="36"/>
      <c r="AW2" s="36"/>
      <c r="AX2" s="36"/>
    </row>
    <row r="3" spans="1:50" ht="18.75">
      <c r="A3" s="225"/>
      <c r="B3" s="225"/>
      <c r="C3" s="225"/>
      <c r="D3" s="225"/>
      <c r="E3" s="225"/>
      <c r="F3" s="225"/>
      <c r="G3" s="225"/>
      <c r="H3" s="225"/>
      <c r="I3" s="225"/>
      <c r="Z3" s="1"/>
      <c r="AA3" s="1"/>
      <c r="AE3" s="3"/>
      <c r="AF3" s="2"/>
      <c r="AG3" s="3"/>
      <c r="AH3" s="3"/>
      <c r="AJ3" s="1"/>
      <c r="AK3" s="1"/>
      <c r="AL3" s="1"/>
      <c r="AM3" s="1"/>
      <c r="AN3" s="1"/>
      <c r="AO3" s="1"/>
      <c r="AP3" s="1"/>
      <c r="AQ3" s="1"/>
      <c r="AR3" s="40"/>
      <c r="AS3" s="40"/>
      <c r="AT3" s="40"/>
      <c r="AV3" s="36"/>
      <c r="AW3" s="36"/>
      <c r="AX3" s="36"/>
    </row>
    <row r="4" spans="1:50" ht="15.75">
      <c r="A4" s="181"/>
      <c r="B4" s="181"/>
      <c r="C4" s="181"/>
      <c r="D4" s="181"/>
      <c r="E4" s="181"/>
      <c r="F4" s="181"/>
      <c r="G4" s="181"/>
      <c r="H4" s="181"/>
      <c r="I4" s="181"/>
      <c r="Z4" s="1"/>
      <c r="AA4" s="1"/>
      <c r="AE4" s="3"/>
      <c r="AF4" s="2"/>
      <c r="AG4" s="3"/>
      <c r="AH4" s="3"/>
      <c r="AJ4" s="1"/>
      <c r="AK4" s="1"/>
      <c r="AL4" s="1"/>
      <c r="AM4" s="1"/>
      <c r="AN4" s="1"/>
      <c r="AO4" s="1"/>
      <c r="AP4" s="1"/>
      <c r="AQ4" s="1"/>
      <c r="AR4" s="40"/>
      <c r="AS4" s="40"/>
      <c r="AT4" s="40"/>
      <c r="AV4" s="36"/>
      <c r="AW4" s="36"/>
      <c r="AX4" s="36"/>
    </row>
    <row r="5" spans="1:50" ht="15.75">
      <c r="A5" s="30"/>
      <c r="B5" s="46"/>
      <c r="C5" s="46"/>
      <c r="D5" s="1"/>
      <c r="E5" s="1"/>
      <c r="F5" s="1"/>
      <c r="G5" s="1"/>
      <c r="H5" s="1"/>
      <c r="I5" s="46"/>
      <c r="J5" s="1"/>
      <c r="K5" s="4"/>
      <c r="L5" s="4"/>
      <c r="M5" s="10"/>
      <c r="N5" s="10"/>
      <c r="O5" s="4"/>
      <c r="P5" s="1"/>
      <c r="Q5" s="1"/>
      <c r="R5" s="2"/>
      <c r="S5" s="1"/>
      <c r="T5" s="1"/>
      <c r="U5" s="1"/>
      <c r="V5" s="1"/>
      <c r="W5" s="33"/>
      <c r="X5" s="1"/>
      <c r="Y5" s="1"/>
      <c r="Z5" s="1"/>
      <c r="AE5" s="7"/>
      <c r="AF5" s="7"/>
      <c r="AG5" s="7"/>
      <c r="AH5" s="7"/>
      <c r="AV5" s="36"/>
      <c r="AW5" s="36"/>
      <c r="AX5" s="36"/>
    </row>
    <row r="6" spans="8:51" ht="15.75" customHeight="1">
      <c r="H6" s="245"/>
      <c r="I6" s="245"/>
      <c r="J6" s="192"/>
      <c r="K6" s="4"/>
      <c r="L6" s="10"/>
      <c r="M6" s="10"/>
      <c r="N6" s="4"/>
      <c r="O6" s="1"/>
      <c r="P6" s="1"/>
      <c r="Q6" s="2"/>
      <c r="R6" s="1"/>
      <c r="S6" s="1"/>
      <c r="T6" s="1"/>
      <c r="U6" s="1"/>
      <c r="V6" s="33"/>
      <c r="W6" s="1"/>
      <c r="X6" s="1"/>
      <c r="Y6" s="1"/>
      <c r="AA6"/>
      <c r="AB6"/>
      <c r="AC6"/>
      <c r="AE6" s="7"/>
      <c r="AF6" s="7"/>
      <c r="AG6" s="7"/>
      <c r="AH6" s="7"/>
      <c r="AU6" s="36"/>
      <c r="AV6" s="36"/>
      <c r="AW6" s="36"/>
      <c r="AX6" s="37"/>
      <c r="AY6" s="7"/>
    </row>
    <row r="7" spans="10:50" ht="16.5" thickBot="1">
      <c r="J7" s="1"/>
      <c r="K7"/>
      <c r="L7" s="4"/>
      <c r="M7" s="10"/>
      <c r="N7" s="10"/>
      <c r="O7" s="4"/>
      <c r="P7" s="1"/>
      <c r="Q7" s="1"/>
      <c r="R7" s="2"/>
      <c r="S7" s="1"/>
      <c r="T7" s="1"/>
      <c r="U7" s="1"/>
      <c r="V7" s="1"/>
      <c r="W7" s="33"/>
      <c r="X7" s="1"/>
      <c r="Y7" s="1"/>
      <c r="Z7" s="1"/>
      <c r="AB7"/>
      <c r="AC7"/>
      <c r="AD7"/>
      <c r="AE7" s="7"/>
      <c r="AF7" s="7"/>
      <c r="AG7" s="7"/>
      <c r="AH7" s="7"/>
      <c r="AV7" s="36"/>
      <c r="AW7" s="36"/>
      <c r="AX7" s="36"/>
    </row>
    <row r="8" spans="8:50" ht="15" customHeight="1" thickBot="1">
      <c r="H8" s="235" t="s">
        <v>79</v>
      </c>
      <c r="I8" s="236"/>
      <c r="J8" s="85">
        <v>55</v>
      </c>
      <c r="K8"/>
      <c r="O8" s="231"/>
      <c r="P8" s="231"/>
      <c r="Q8" s="231"/>
      <c r="R8" s="231"/>
      <c r="S8" s="231"/>
      <c r="T8" s="231"/>
      <c r="U8"/>
      <c r="V8" s="230"/>
      <c r="W8" s="230"/>
      <c r="X8" s="230"/>
      <c r="Y8" s="230"/>
      <c r="Z8" s="230"/>
      <c r="AA8" s="230"/>
      <c r="AB8" s="230"/>
      <c r="AC8" s="230"/>
      <c r="AD8"/>
      <c r="AE8" s="241" t="s">
        <v>2</v>
      </c>
      <c r="AF8" s="241"/>
      <c r="AG8" s="241"/>
      <c r="AH8" s="241"/>
      <c r="AI8" s="13" t="s">
        <v>3</v>
      </c>
      <c r="AJ8" s="220"/>
      <c r="AK8" s="14" t="s">
        <v>4</v>
      </c>
      <c r="AV8" s="36"/>
      <c r="AW8" s="36"/>
      <c r="AX8" s="36"/>
    </row>
    <row r="9" spans="1:51" s="68" customFormat="1" ht="33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232" t="s">
        <v>5</v>
      </c>
      <c r="P9" s="233"/>
      <c r="Q9" s="233"/>
      <c r="R9" s="233"/>
      <c r="S9" s="234"/>
      <c r="T9" s="69"/>
      <c r="U9" s="110"/>
      <c r="V9" s="226"/>
      <c r="W9" s="227"/>
      <c r="X9" s="126">
        <v>0.2</v>
      </c>
      <c r="Y9" s="130">
        <v>0.5</v>
      </c>
      <c r="Z9" s="128">
        <v>0.3</v>
      </c>
      <c r="AA9" s="222"/>
      <c r="AB9" s="223"/>
      <c r="AC9" s="223"/>
      <c r="AD9" s="110"/>
      <c r="AE9" s="242" t="s">
        <v>6</v>
      </c>
      <c r="AF9" s="243"/>
      <c r="AG9" s="244"/>
      <c r="AH9" s="242" t="s">
        <v>7</v>
      </c>
      <c r="AI9" s="244"/>
      <c r="AJ9" s="221"/>
      <c r="AK9" s="70" t="s">
        <v>8</v>
      </c>
      <c r="AV9" s="71"/>
      <c r="AW9" s="71"/>
      <c r="AX9" s="71"/>
      <c r="AY9" s="72"/>
    </row>
    <row r="10" spans="1:49" s="6" customFormat="1" ht="50.1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191</v>
      </c>
      <c r="F10" s="16" t="s">
        <v>13</v>
      </c>
      <c r="G10" s="74" t="s">
        <v>14</v>
      </c>
      <c r="H10" s="74" t="s">
        <v>15</v>
      </c>
      <c r="I10" s="89" t="s">
        <v>16</v>
      </c>
      <c r="J10" s="16" t="s">
        <v>1</v>
      </c>
      <c r="K10" s="74" t="s">
        <v>67</v>
      </c>
      <c r="L10" s="74" t="s">
        <v>184</v>
      </c>
      <c r="M10" s="51" t="s">
        <v>69</v>
      </c>
      <c r="N10" s="51" t="s">
        <v>190</v>
      </c>
      <c r="O10" s="73" t="s">
        <v>18</v>
      </c>
      <c r="P10" s="73" t="s">
        <v>19</v>
      </c>
      <c r="Q10" s="73" t="s">
        <v>20</v>
      </c>
      <c r="R10" s="18" t="s">
        <v>21</v>
      </c>
      <c r="S10" s="18" t="s">
        <v>22</v>
      </c>
      <c r="T10" s="19" t="s">
        <v>23</v>
      </c>
      <c r="U10" s="110"/>
      <c r="V10" s="20" t="s">
        <v>24</v>
      </c>
      <c r="W10" s="21" t="s">
        <v>25</v>
      </c>
      <c r="X10" s="127" t="s">
        <v>26</v>
      </c>
      <c r="Y10" s="131" t="s">
        <v>27</v>
      </c>
      <c r="Z10" s="129" t="s">
        <v>4</v>
      </c>
      <c r="AA10" s="20" t="s">
        <v>28</v>
      </c>
      <c r="AB10" s="22" t="s">
        <v>29</v>
      </c>
      <c r="AC10" s="23" t="s">
        <v>30</v>
      </c>
      <c r="AD10" s="110"/>
      <c r="AE10" s="17" t="s">
        <v>18</v>
      </c>
      <c r="AF10" s="17" t="s">
        <v>19</v>
      </c>
      <c r="AG10" s="17" t="s">
        <v>20</v>
      </c>
      <c r="AH10" s="17" t="s">
        <v>21</v>
      </c>
      <c r="AI10" s="17" t="s">
        <v>31</v>
      </c>
      <c r="AJ10" s="17" t="s">
        <v>22</v>
      </c>
      <c r="AK10" s="17" t="s">
        <v>32</v>
      </c>
      <c r="AT10" s="240"/>
      <c r="AU10" s="240"/>
      <c r="AV10" s="240"/>
      <c r="AW10" s="240"/>
    </row>
    <row r="11" spans="1:49" s="9" customFormat="1" ht="15" customHeight="1">
      <c r="A11" s="52"/>
      <c r="B11" s="67"/>
      <c r="C11" s="53"/>
      <c r="D11" s="52"/>
      <c r="E11" s="52"/>
      <c r="F11" s="52"/>
      <c r="G11" s="87"/>
      <c r="H11" s="191"/>
      <c r="I11" s="88"/>
      <c r="J11" s="52">
        <f>SUM(J12:J17)</f>
        <v>330</v>
      </c>
      <c r="K11" s="94">
        <f>SUM(K12:K17)</f>
        <v>243658.8</v>
      </c>
      <c r="L11" s="55"/>
      <c r="M11" s="54"/>
      <c r="N11" s="54"/>
      <c r="O11" s="93">
        <f aca="true" t="shared" si="0" ref="O11:T11">SUM(O12:O17)</f>
        <v>31750</v>
      </c>
      <c r="P11" s="93">
        <f t="shared" si="0"/>
        <v>9836.150000000001</v>
      </c>
      <c r="Q11" s="93">
        <f t="shared" si="0"/>
        <v>41586.15</v>
      </c>
      <c r="R11" s="93">
        <f t="shared" si="0"/>
        <v>0</v>
      </c>
      <c r="S11" s="93">
        <f t="shared" si="0"/>
        <v>41586.15</v>
      </c>
      <c r="T11" s="94">
        <f t="shared" si="0"/>
        <v>202072.65000000002</v>
      </c>
      <c r="U11"/>
      <c r="V11" s="24">
        <f>SUM(V12:V17)</f>
        <v>330</v>
      </c>
      <c r="W11" s="25">
        <f aca="true" t="shared" si="1" ref="W11:W28">V11/J11</f>
        <v>1</v>
      </c>
      <c r="X11" s="97">
        <f>SUM(X12:X17)</f>
        <v>40414.530000000006</v>
      </c>
      <c r="Y11" s="132">
        <f>SUM(Y12:Y17)</f>
        <v>101036.32500000001</v>
      </c>
      <c r="Z11" s="97">
        <f>SUM(Z12:Z17)</f>
        <v>60621.795000000006</v>
      </c>
      <c r="AA11" s="24">
        <f>SUM(AA12:AA17)</f>
        <v>0</v>
      </c>
      <c r="AB11" s="25">
        <f aca="true" t="shared" si="2" ref="AB11:AB28">AA11/J11</f>
        <v>0</v>
      </c>
      <c r="AC11" s="94">
        <f>SUM(AC12:AC17)</f>
        <v>0</v>
      </c>
      <c r="AD11"/>
      <c r="AE11" s="93">
        <f>SUM(AE12:AE17)</f>
        <v>31750</v>
      </c>
      <c r="AF11" s="93">
        <f>SUM(AF12:AF17)</f>
        <v>9836.150000000001</v>
      </c>
      <c r="AG11" s="93">
        <f>SUM(AG12:AG17)</f>
        <v>41586.15</v>
      </c>
      <c r="AH11" s="93">
        <f aca="true" t="shared" si="3" ref="AH11:AI11">SUM(AH12:AH17)</f>
        <v>0</v>
      </c>
      <c r="AI11" s="93">
        <f t="shared" si="3"/>
        <v>0</v>
      </c>
      <c r="AJ11" s="93">
        <f>SUM(AJ12:AJ17)</f>
        <v>41586.15</v>
      </c>
      <c r="AK11" s="93">
        <f>SUM(AK12:AK17)</f>
        <v>0</v>
      </c>
      <c r="AL11" s="7"/>
      <c r="AM11" s="7"/>
      <c r="AN11" s="7"/>
      <c r="AO11" s="7"/>
      <c r="AP11" s="7"/>
      <c r="AQ11" s="7"/>
      <c r="AR11" s="7"/>
      <c r="AW11" s="11"/>
    </row>
    <row r="12" spans="1:37" s="29" customFormat="1" ht="15">
      <c r="A12" s="26" t="s">
        <v>165</v>
      </c>
      <c r="B12" s="182">
        <v>2003</v>
      </c>
      <c r="C12" s="7" t="s">
        <v>34</v>
      </c>
      <c r="D12" s="187" t="s">
        <v>166</v>
      </c>
      <c r="E12" s="187" t="s">
        <v>111</v>
      </c>
      <c r="F12" s="7" t="s">
        <v>0</v>
      </c>
      <c r="G12" t="s">
        <v>36</v>
      </c>
      <c r="H12" t="s">
        <v>189</v>
      </c>
      <c r="I12" s="5">
        <v>3</v>
      </c>
      <c r="J12" s="29">
        <f aca="true" t="shared" si="4" ref="J12:J20">$J$8</f>
        <v>55</v>
      </c>
      <c r="K12" s="100">
        <f>Table!$H$7*I12*J12</f>
        <v>40609.8</v>
      </c>
      <c r="L12" t="s">
        <v>48</v>
      </c>
      <c r="M12" s="29">
        <v>1</v>
      </c>
      <c r="N12" s="101">
        <v>5000</v>
      </c>
      <c r="O12" s="95">
        <f>N12</f>
        <v>5000</v>
      </c>
      <c r="P12" s="95">
        <f>O12*Table!$H$1</f>
        <v>1549</v>
      </c>
      <c r="Q12" s="95">
        <f aca="true" t="shared" si="5" ref="Q12:Q28">O12+P12</f>
        <v>6549</v>
      </c>
      <c r="R12" s="95"/>
      <c r="S12" s="95">
        <f aca="true" t="shared" si="6" ref="S12:S28">Q12+R12</f>
        <v>6549</v>
      </c>
      <c r="T12" s="96">
        <f aca="true" t="shared" si="7" ref="T12:T28">K12-S12</f>
        <v>34060.8</v>
      </c>
      <c r="U12"/>
      <c r="V12" s="15">
        <f>J12</f>
        <v>55</v>
      </c>
      <c r="W12" s="27">
        <f t="shared" si="1"/>
        <v>1</v>
      </c>
      <c r="X12" s="98">
        <f aca="true" t="shared" si="8" ref="X12:X17">(W12*T12)*$X$9</f>
        <v>6812.160000000001</v>
      </c>
      <c r="Y12" s="133">
        <f aca="true" t="shared" si="9" ref="Y12:Y17">(W12*T12)*$Y$9</f>
        <v>17030.4</v>
      </c>
      <c r="Z12" s="98">
        <f aca="true" t="shared" si="10" ref="Z12:Z17">(W12*T12)*$Z$9</f>
        <v>10218.24</v>
      </c>
      <c r="AA12" s="12">
        <f aca="true" t="shared" si="11" ref="AA12:AA28">J12-V12</f>
        <v>0</v>
      </c>
      <c r="AB12" s="27">
        <f t="shared" si="2"/>
        <v>0</v>
      </c>
      <c r="AC12" s="96">
        <f aca="true" t="shared" si="12" ref="AC12">T12*AB12</f>
        <v>0</v>
      </c>
      <c r="AD12"/>
      <c r="AE12" s="99">
        <f aca="true" t="shared" si="13" ref="AE12:AE28">IF(L12="TTIN","0.00",(IF(L12="CIN","0.00",(IF(L12="IN","0.00",O12)))))</f>
        <v>5000</v>
      </c>
      <c r="AF12" s="99">
        <f aca="true" t="shared" si="14" ref="AF12:AF28">IF(L12="TTIN","0.00",(IF(L12="CIN","0.00",(IF(L12="IN","0.00",P12)))))</f>
        <v>1549</v>
      </c>
      <c r="AG12" s="99">
        <f aca="true" t="shared" si="15" ref="AG12:AG28">IF(L12="TTIN","0.00",(IF(L12="CIN","0.00",(IF(L12="IN","0.00",Q12)))))</f>
        <v>6549</v>
      </c>
      <c r="AH12" s="95"/>
      <c r="AI12" s="95"/>
      <c r="AJ12" s="95">
        <f aca="true" t="shared" si="16" ref="AJ12:AJ28">AG12+AH12+AI12</f>
        <v>6549</v>
      </c>
      <c r="AK12" s="95">
        <f aca="true" t="shared" si="17" ref="AK12">S12-AJ12</f>
        <v>0</v>
      </c>
    </row>
    <row r="13" spans="1:37" s="29" customFormat="1" ht="15">
      <c r="A13" s="26" t="s">
        <v>167</v>
      </c>
      <c r="B13" s="182">
        <v>2013</v>
      </c>
      <c r="C13" s="7" t="s">
        <v>34</v>
      </c>
      <c r="D13" s="187" t="s">
        <v>168</v>
      </c>
      <c r="E13" s="187" t="s">
        <v>111</v>
      </c>
      <c r="F13" s="7" t="s">
        <v>0</v>
      </c>
      <c r="G13" t="s">
        <v>36</v>
      </c>
      <c r="H13" t="s">
        <v>189</v>
      </c>
      <c r="I13" s="5">
        <v>3</v>
      </c>
      <c r="J13" s="29">
        <f t="shared" si="4"/>
        <v>55</v>
      </c>
      <c r="K13" s="100">
        <f>Table!$H$7*I13*J13</f>
        <v>40609.8</v>
      </c>
      <c r="L13" t="s">
        <v>48</v>
      </c>
      <c r="M13" s="29">
        <v>1</v>
      </c>
      <c r="N13" s="101">
        <v>5000</v>
      </c>
      <c r="O13" s="95">
        <v>5000</v>
      </c>
      <c r="P13" s="95">
        <f>O13*Table!$H$1</f>
        <v>1549</v>
      </c>
      <c r="Q13" s="95">
        <f t="shared" si="5"/>
        <v>6549</v>
      </c>
      <c r="R13" s="95"/>
      <c r="S13" s="95">
        <f t="shared" si="6"/>
        <v>6549</v>
      </c>
      <c r="T13" s="96">
        <f t="shared" si="7"/>
        <v>34060.8</v>
      </c>
      <c r="U13"/>
      <c r="V13" s="15">
        <f aca="true" t="shared" si="18" ref="V13:V28">J13</f>
        <v>55</v>
      </c>
      <c r="W13" s="27">
        <f t="shared" si="1"/>
        <v>1</v>
      </c>
      <c r="X13" s="98">
        <f t="shared" si="8"/>
        <v>6812.160000000001</v>
      </c>
      <c r="Y13" s="133">
        <f t="shared" si="9"/>
        <v>17030.4</v>
      </c>
      <c r="Z13" s="98">
        <f t="shared" si="10"/>
        <v>10218.24</v>
      </c>
      <c r="AA13" s="12">
        <f t="shared" si="11"/>
        <v>0</v>
      </c>
      <c r="AB13" s="27">
        <f t="shared" si="2"/>
        <v>0</v>
      </c>
      <c r="AC13" s="96">
        <f>T13*AB13</f>
        <v>0</v>
      </c>
      <c r="AD13"/>
      <c r="AE13" s="99">
        <f t="shared" si="13"/>
        <v>5000</v>
      </c>
      <c r="AF13" s="99">
        <f t="shared" si="14"/>
        <v>1549</v>
      </c>
      <c r="AG13" s="99">
        <f t="shared" si="15"/>
        <v>6549</v>
      </c>
      <c r="AH13" s="95"/>
      <c r="AI13" s="95"/>
      <c r="AJ13" s="95">
        <f t="shared" si="16"/>
        <v>6549</v>
      </c>
      <c r="AK13" s="95">
        <f>S13-AJ13</f>
        <v>0</v>
      </c>
    </row>
    <row r="14" spans="1:37" s="29" customFormat="1" ht="15">
      <c r="A14" s="26" t="s">
        <v>165</v>
      </c>
      <c r="B14" s="182">
        <v>2043</v>
      </c>
      <c r="C14" s="7" t="s">
        <v>34</v>
      </c>
      <c r="D14" s="187" t="s">
        <v>169</v>
      </c>
      <c r="E14" s="187" t="s">
        <v>111</v>
      </c>
      <c r="F14" s="7" t="s">
        <v>0</v>
      </c>
      <c r="G14" t="s">
        <v>36</v>
      </c>
      <c r="H14" t="s">
        <v>186</v>
      </c>
      <c r="I14" s="5">
        <v>3</v>
      </c>
      <c r="J14" s="29">
        <f t="shared" si="4"/>
        <v>55</v>
      </c>
      <c r="K14" s="100">
        <f>Table!$H$7*I14*J14</f>
        <v>40609.8</v>
      </c>
      <c r="L14" t="s">
        <v>47</v>
      </c>
      <c r="M14" s="29">
        <v>1</v>
      </c>
      <c r="N14" s="101">
        <v>50000</v>
      </c>
      <c r="O14" s="95">
        <f aca="true" t="shared" si="19" ref="O14:O28">IF(N14="A1","$4,000.00",(IF(N14="A2","$5,000.00",(IF(N14="A3","$5,000.00",(IF(L14="TTIN",I14*N14*0.025,IF(L14="TTIR",I14*N14*0.025,(IF(L14="O",I14*N14*0.025,(IF(L14="CIN",I14*N14*0.025,(IF(L14="CIR",I14*N14*0.025,(IF(L14="IR",I14*N14*0.025,(IF(L14="IN",I14*N14*0.025,(IF(L14="GA",I14*N14*0.025,(IF(L14="CISP",I14*N14*0.04))))))))))))))))))))))</f>
        <v>6000</v>
      </c>
      <c r="P14" s="95">
        <f>O14*Table!$H$1</f>
        <v>1858.8000000000002</v>
      </c>
      <c r="Q14" s="95">
        <f t="shared" si="5"/>
        <v>7858.8</v>
      </c>
      <c r="R14" s="95"/>
      <c r="S14" s="95">
        <f t="shared" si="6"/>
        <v>7858.8</v>
      </c>
      <c r="T14" s="96">
        <f t="shared" si="7"/>
        <v>32751.000000000004</v>
      </c>
      <c r="U14"/>
      <c r="V14" s="15">
        <f t="shared" si="18"/>
        <v>55</v>
      </c>
      <c r="W14" s="27">
        <f t="shared" si="1"/>
        <v>1</v>
      </c>
      <c r="X14" s="98">
        <f t="shared" si="8"/>
        <v>6550.200000000001</v>
      </c>
      <c r="Y14" s="133">
        <f t="shared" si="9"/>
        <v>16375.500000000002</v>
      </c>
      <c r="Z14" s="98">
        <f t="shared" si="10"/>
        <v>9825.300000000001</v>
      </c>
      <c r="AA14" s="12">
        <f t="shared" si="11"/>
        <v>0</v>
      </c>
      <c r="AB14" s="27">
        <f t="shared" si="2"/>
        <v>0</v>
      </c>
      <c r="AC14" s="96">
        <f>T14*AB14</f>
        <v>0</v>
      </c>
      <c r="AD14"/>
      <c r="AE14" s="99">
        <f t="shared" si="13"/>
        <v>6000</v>
      </c>
      <c r="AF14" s="99">
        <f t="shared" si="14"/>
        <v>1858.8000000000002</v>
      </c>
      <c r="AG14" s="99">
        <f t="shared" si="15"/>
        <v>7858.8</v>
      </c>
      <c r="AH14" s="95"/>
      <c r="AI14" s="95"/>
      <c r="AJ14" s="95">
        <f t="shared" si="16"/>
        <v>7858.8</v>
      </c>
      <c r="AK14" s="95">
        <f>S14-AJ14</f>
        <v>0</v>
      </c>
    </row>
    <row r="15" spans="1:37" s="29" customFormat="1" ht="15">
      <c r="A15" s="26" t="s">
        <v>170</v>
      </c>
      <c r="B15" s="182">
        <v>3023</v>
      </c>
      <c r="C15" s="7" t="s">
        <v>34</v>
      </c>
      <c r="D15" s="187" t="s">
        <v>171</v>
      </c>
      <c r="E15" s="187" t="s">
        <v>111</v>
      </c>
      <c r="F15" s="7" t="s">
        <v>0</v>
      </c>
      <c r="G15" t="s">
        <v>36</v>
      </c>
      <c r="H15" t="s">
        <v>186</v>
      </c>
      <c r="I15" s="5">
        <v>3</v>
      </c>
      <c r="J15" s="29">
        <f t="shared" si="4"/>
        <v>55</v>
      </c>
      <c r="K15" s="100">
        <f>Table!$H$7*I15*J15</f>
        <v>40609.8</v>
      </c>
      <c r="L15" t="s">
        <v>47</v>
      </c>
      <c r="M15" s="29">
        <v>1</v>
      </c>
      <c r="N15" s="101">
        <v>50000</v>
      </c>
      <c r="O15" s="95">
        <f t="shared" si="19"/>
        <v>6000</v>
      </c>
      <c r="P15" s="95">
        <f>O15*Table!$H$1</f>
        <v>1858.8000000000002</v>
      </c>
      <c r="Q15" s="95">
        <f t="shared" si="5"/>
        <v>7858.8</v>
      </c>
      <c r="R15" s="95"/>
      <c r="S15" s="95">
        <f t="shared" si="6"/>
        <v>7858.8</v>
      </c>
      <c r="T15" s="96">
        <f t="shared" si="7"/>
        <v>32751.000000000004</v>
      </c>
      <c r="U15"/>
      <c r="V15" s="15">
        <f t="shared" si="18"/>
        <v>55</v>
      </c>
      <c r="W15" s="27">
        <f t="shared" si="1"/>
        <v>1</v>
      </c>
      <c r="X15" s="98">
        <f t="shared" si="8"/>
        <v>6550.200000000001</v>
      </c>
      <c r="Y15" s="133">
        <f t="shared" si="9"/>
        <v>16375.500000000002</v>
      </c>
      <c r="Z15" s="98">
        <f t="shared" si="10"/>
        <v>9825.300000000001</v>
      </c>
      <c r="AA15" s="12">
        <f t="shared" si="11"/>
        <v>0</v>
      </c>
      <c r="AB15" s="27">
        <f t="shared" si="2"/>
        <v>0</v>
      </c>
      <c r="AC15" s="96">
        <f>T15*AB15</f>
        <v>0</v>
      </c>
      <c r="AD15"/>
      <c r="AE15" s="99">
        <f t="shared" si="13"/>
        <v>6000</v>
      </c>
      <c r="AF15" s="99">
        <f t="shared" si="14"/>
        <v>1858.8000000000002</v>
      </c>
      <c r="AG15" s="99">
        <f t="shared" si="15"/>
        <v>7858.8</v>
      </c>
      <c r="AH15" s="95"/>
      <c r="AI15" s="95"/>
      <c r="AJ15" s="95">
        <f t="shared" si="16"/>
        <v>7858.8</v>
      </c>
      <c r="AK15" s="95">
        <f>S15-AJ15</f>
        <v>0</v>
      </c>
    </row>
    <row r="16" spans="1:37" s="29" customFormat="1" ht="15">
      <c r="A16" s="26" t="s">
        <v>165</v>
      </c>
      <c r="B16" s="182">
        <v>3043</v>
      </c>
      <c r="C16" s="7" t="s">
        <v>34</v>
      </c>
      <c r="D16" s="187" t="s">
        <v>172</v>
      </c>
      <c r="E16" s="187" t="s">
        <v>111</v>
      </c>
      <c r="F16" s="7" t="s">
        <v>0</v>
      </c>
      <c r="G16" t="s">
        <v>36</v>
      </c>
      <c r="H16" t="s">
        <v>186</v>
      </c>
      <c r="I16" s="5">
        <v>3</v>
      </c>
      <c r="J16" s="29">
        <f t="shared" si="4"/>
        <v>55</v>
      </c>
      <c r="K16" s="100">
        <f>Table!$H$7*I16*J16</f>
        <v>40609.8</v>
      </c>
      <c r="L16" t="s">
        <v>47</v>
      </c>
      <c r="M16" s="29">
        <v>1</v>
      </c>
      <c r="N16" s="101">
        <v>50000</v>
      </c>
      <c r="O16" s="95">
        <f t="shared" si="19"/>
        <v>6000</v>
      </c>
      <c r="P16" s="95">
        <f>O16*Table!$H$1</f>
        <v>1858.8000000000002</v>
      </c>
      <c r="Q16" s="95">
        <f t="shared" si="5"/>
        <v>7858.8</v>
      </c>
      <c r="R16" s="95"/>
      <c r="S16" s="95">
        <f t="shared" si="6"/>
        <v>7858.8</v>
      </c>
      <c r="T16" s="96">
        <f t="shared" si="7"/>
        <v>32751.000000000004</v>
      </c>
      <c r="U16"/>
      <c r="V16" s="15">
        <f t="shared" si="18"/>
        <v>55</v>
      </c>
      <c r="W16" s="27">
        <f t="shared" si="1"/>
        <v>1</v>
      </c>
      <c r="X16" s="98">
        <f t="shared" si="8"/>
        <v>6550.200000000001</v>
      </c>
      <c r="Y16" s="133">
        <f t="shared" si="9"/>
        <v>16375.500000000002</v>
      </c>
      <c r="Z16" s="98">
        <f t="shared" si="10"/>
        <v>9825.300000000001</v>
      </c>
      <c r="AA16" s="12">
        <f t="shared" si="11"/>
        <v>0</v>
      </c>
      <c r="AB16" s="27">
        <f t="shared" si="2"/>
        <v>0</v>
      </c>
      <c r="AC16" s="96">
        <f>T16*AB16</f>
        <v>0</v>
      </c>
      <c r="AD16"/>
      <c r="AE16" s="99">
        <f t="shared" si="13"/>
        <v>6000</v>
      </c>
      <c r="AF16" s="99">
        <f t="shared" si="14"/>
        <v>1858.8000000000002</v>
      </c>
      <c r="AG16" s="99">
        <f t="shared" si="15"/>
        <v>7858.8</v>
      </c>
      <c r="AH16" s="95"/>
      <c r="AI16" s="95"/>
      <c r="AJ16" s="95">
        <f t="shared" si="16"/>
        <v>7858.8</v>
      </c>
      <c r="AK16" s="95">
        <f>S16-AJ16</f>
        <v>0</v>
      </c>
    </row>
    <row r="17" spans="1:37" s="29" customFormat="1" ht="15">
      <c r="A17" s="26" t="s">
        <v>170</v>
      </c>
      <c r="B17" s="182">
        <v>3203</v>
      </c>
      <c r="C17" s="7" t="s">
        <v>34</v>
      </c>
      <c r="D17" s="187" t="s">
        <v>173</v>
      </c>
      <c r="E17" s="187" t="s">
        <v>111</v>
      </c>
      <c r="F17" s="7" t="s">
        <v>0</v>
      </c>
      <c r="G17" t="s">
        <v>36</v>
      </c>
      <c r="H17" t="s">
        <v>186</v>
      </c>
      <c r="I17" s="5">
        <v>3</v>
      </c>
      <c r="J17" s="29">
        <f t="shared" si="4"/>
        <v>55</v>
      </c>
      <c r="K17" s="100">
        <f>Table!$H$7*I17*J17</f>
        <v>40609.8</v>
      </c>
      <c r="L17" t="s">
        <v>75</v>
      </c>
      <c r="M17" s="29">
        <v>1</v>
      </c>
      <c r="N17" s="101">
        <v>50000</v>
      </c>
      <c r="O17" s="95">
        <f t="shared" si="19"/>
        <v>3750</v>
      </c>
      <c r="P17" s="95">
        <f>O17*Table!$H$1</f>
        <v>1161.75</v>
      </c>
      <c r="Q17" s="95">
        <f t="shared" si="5"/>
        <v>4911.75</v>
      </c>
      <c r="R17" s="95"/>
      <c r="S17" s="95">
        <f t="shared" si="6"/>
        <v>4911.75</v>
      </c>
      <c r="T17" s="96">
        <f t="shared" si="7"/>
        <v>35698.05</v>
      </c>
      <c r="U17"/>
      <c r="V17" s="15">
        <f t="shared" si="18"/>
        <v>55</v>
      </c>
      <c r="W17" s="27">
        <f t="shared" si="1"/>
        <v>1</v>
      </c>
      <c r="X17" s="98">
        <f t="shared" si="8"/>
        <v>7139.610000000001</v>
      </c>
      <c r="Y17" s="133">
        <f t="shared" si="9"/>
        <v>17849.025</v>
      </c>
      <c r="Z17" s="98">
        <f t="shared" si="10"/>
        <v>10709.415</v>
      </c>
      <c r="AA17" s="12">
        <f t="shared" si="11"/>
        <v>0</v>
      </c>
      <c r="AB17" s="27">
        <f t="shared" si="2"/>
        <v>0</v>
      </c>
      <c r="AC17" s="96">
        <f>T17*AB17</f>
        <v>0</v>
      </c>
      <c r="AD17"/>
      <c r="AE17" s="99">
        <f t="shared" si="13"/>
        <v>3750</v>
      </c>
      <c r="AF17" s="99">
        <f t="shared" si="14"/>
        <v>1161.75</v>
      </c>
      <c r="AG17" s="99">
        <f t="shared" si="15"/>
        <v>4911.75</v>
      </c>
      <c r="AH17" s="95"/>
      <c r="AI17" s="95"/>
      <c r="AJ17" s="95">
        <f t="shared" si="16"/>
        <v>4911.75</v>
      </c>
      <c r="AK17" s="95">
        <f>S17-AJ17</f>
        <v>0</v>
      </c>
    </row>
    <row r="18" spans="1:37" s="29" customFormat="1" ht="15">
      <c r="A18" s="26" t="s">
        <v>167</v>
      </c>
      <c r="B18" s="182" t="s">
        <v>188</v>
      </c>
      <c r="C18" s="7" t="s">
        <v>34</v>
      </c>
      <c r="D18" s="187" t="s">
        <v>187</v>
      </c>
      <c r="E18" s="187" t="s">
        <v>111</v>
      </c>
      <c r="F18" s="7" t="s">
        <v>0</v>
      </c>
      <c r="G18" t="s">
        <v>36</v>
      </c>
      <c r="H18" t="s">
        <v>186</v>
      </c>
      <c r="I18" s="5">
        <v>4</v>
      </c>
      <c r="J18" s="29">
        <f t="shared" si="4"/>
        <v>55</v>
      </c>
      <c r="K18" s="100">
        <f>Table!$H$7*I18*J18</f>
        <v>54146.4</v>
      </c>
      <c r="L18" t="s">
        <v>47</v>
      </c>
      <c r="M18" s="29">
        <v>1</v>
      </c>
      <c r="N18" s="101">
        <v>50000</v>
      </c>
      <c r="O18" s="95">
        <f t="shared" si="19"/>
        <v>8000</v>
      </c>
      <c r="P18" s="95">
        <f>O18*Table!$H$1</f>
        <v>2478.4</v>
      </c>
      <c r="Q18" s="95">
        <f t="shared" si="5"/>
        <v>10478.4</v>
      </c>
      <c r="R18" s="95"/>
      <c r="S18" s="95">
        <f t="shared" si="6"/>
        <v>10478.4</v>
      </c>
      <c r="T18" s="96">
        <f t="shared" si="7"/>
        <v>43668</v>
      </c>
      <c r="U18"/>
      <c r="V18" s="15">
        <f t="shared" si="18"/>
        <v>55</v>
      </c>
      <c r="W18" s="27">
        <f t="shared" si="1"/>
        <v>1</v>
      </c>
      <c r="X18" s="98">
        <f aca="true" t="shared" si="20" ref="X18:X28">(W18*T18)*$X$9</f>
        <v>8733.6</v>
      </c>
      <c r="Y18" s="133">
        <f aca="true" t="shared" si="21" ref="Y18:Y28">(W18*T18)*$Y$9</f>
        <v>21834</v>
      </c>
      <c r="Z18" s="98">
        <f aca="true" t="shared" si="22" ref="Z18:Z28">(W18*T18)*$Z$9</f>
        <v>13100.4</v>
      </c>
      <c r="AA18" s="12">
        <f t="shared" si="11"/>
        <v>0</v>
      </c>
      <c r="AB18" s="27">
        <f t="shared" si="2"/>
        <v>0</v>
      </c>
      <c r="AC18" s="96">
        <f aca="true" t="shared" si="23" ref="AC18:AC28">T18*AB18</f>
        <v>0</v>
      </c>
      <c r="AD18"/>
      <c r="AE18" s="99">
        <f t="shared" si="13"/>
        <v>8000</v>
      </c>
      <c r="AF18" s="99">
        <f t="shared" si="14"/>
        <v>2478.4</v>
      </c>
      <c r="AG18" s="99">
        <f t="shared" si="15"/>
        <v>10478.4</v>
      </c>
      <c r="AH18" s="95"/>
      <c r="AI18" s="95"/>
      <c r="AJ18" s="95">
        <f t="shared" si="16"/>
        <v>10478.4</v>
      </c>
      <c r="AK18" s="95">
        <f aca="true" t="shared" si="24" ref="AK18:AK28">S18-AJ18</f>
        <v>0</v>
      </c>
    </row>
    <row r="19" spans="1:37" s="29" customFormat="1" ht="15">
      <c r="A19" s="26" t="s">
        <v>167</v>
      </c>
      <c r="B19" s="182">
        <v>3313</v>
      </c>
      <c r="C19" s="7" t="s">
        <v>34</v>
      </c>
      <c r="D19" s="187" t="s">
        <v>174</v>
      </c>
      <c r="E19" s="187" t="s">
        <v>111</v>
      </c>
      <c r="F19" s="7" t="s">
        <v>0</v>
      </c>
      <c r="G19" t="s">
        <v>36</v>
      </c>
      <c r="H19" t="s">
        <v>186</v>
      </c>
      <c r="I19" s="5">
        <v>3</v>
      </c>
      <c r="J19" s="29">
        <f t="shared" si="4"/>
        <v>55</v>
      </c>
      <c r="K19" s="100">
        <f>Table!$H$7*I19*J19</f>
        <v>40609.8</v>
      </c>
      <c r="L19" t="s">
        <v>47</v>
      </c>
      <c r="M19" s="29">
        <v>1</v>
      </c>
      <c r="N19" s="101">
        <v>50000</v>
      </c>
      <c r="O19" s="95">
        <f t="shared" si="19"/>
        <v>6000</v>
      </c>
      <c r="P19" s="95">
        <f>O19*Table!$H$1</f>
        <v>1858.8000000000002</v>
      </c>
      <c r="Q19" s="95">
        <f t="shared" si="5"/>
        <v>7858.8</v>
      </c>
      <c r="R19" s="95"/>
      <c r="S19" s="95">
        <f t="shared" si="6"/>
        <v>7858.8</v>
      </c>
      <c r="T19" s="96">
        <f t="shared" si="7"/>
        <v>32751.000000000004</v>
      </c>
      <c r="U19"/>
      <c r="V19" s="15">
        <f t="shared" si="18"/>
        <v>55</v>
      </c>
      <c r="W19" s="27">
        <f t="shared" si="1"/>
        <v>1</v>
      </c>
      <c r="X19" s="98">
        <f t="shared" si="20"/>
        <v>6550.200000000001</v>
      </c>
      <c r="Y19" s="133">
        <f t="shared" si="21"/>
        <v>16375.500000000002</v>
      </c>
      <c r="Z19" s="98">
        <f t="shared" si="22"/>
        <v>9825.300000000001</v>
      </c>
      <c r="AA19" s="12">
        <f t="shared" si="11"/>
        <v>0</v>
      </c>
      <c r="AB19" s="27">
        <f t="shared" si="2"/>
        <v>0</v>
      </c>
      <c r="AC19" s="96">
        <f t="shared" si="23"/>
        <v>0</v>
      </c>
      <c r="AD19"/>
      <c r="AE19" s="99">
        <f t="shared" si="13"/>
        <v>6000</v>
      </c>
      <c r="AF19" s="99">
        <f t="shared" si="14"/>
        <v>1858.8000000000002</v>
      </c>
      <c r="AG19" s="99">
        <f t="shared" si="15"/>
        <v>7858.8</v>
      </c>
      <c r="AH19" s="95"/>
      <c r="AI19" s="95"/>
      <c r="AJ19" s="95">
        <f t="shared" si="16"/>
        <v>7858.8</v>
      </c>
      <c r="AK19" s="95">
        <f t="shared" si="24"/>
        <v>0</v>
      </c>
    </row>
    <row r="20" spans="1:37" s="29" customFormat="1" ht="15">
      <c r="A20" s="26" t="s">
        <v>170</v>
      </c>
      <c r="B20" s="182">
        <v>3723</v>
      </c>
      <c r="C20" s="7" t="s">
        <v>34</v>
      </c>
      <c r="D20" s="188" t="s">
        <v>175</v>
      </c>
      <c r="E20" s="188" t="s">
        <v>111</v>
      </c>
      <c r="F20" s="7" t="s">
        <v>0</v>
      </c>
      <c r="G20" t="s">
        <v>36</v>
      </c>
      <c r="H20" t="s">
        <v>186</v>
      </c>
      <c r="I20" s="5">
        <v>3</v>
      </c>
      <c r="J20" s="29">
        <f t="shared" si="4"/>
        <v>55</v>
      </c>
      <c r="K20" s="100">
        <f>Table!$H$7*I20*J20</f>
        <v>40609.8</v>
      </c>
      <c r="L20" t="s">
        <v>51</v>
      </c>
      <c r="M20" s="29">
        <v>1</v>
      </c>
      <c r="N20" s="101">
        <v>50000</v>
      </c>
      <c r="O20" s="95">
        <f t="shared" si="19"/>
        <v>3750</v>
      </c>
      <c r="P20" s="95">
        <f>O20*Table!$H$1</f>
        <v>1161.75</v>
      </c>
      <c r="Q20" s="95">
        <f t="shared" si="5"/>
        <v>4911.75</v>
      </c>
      <c r="R20" s="95"/>
      <c r="S20" s="95">
        <f t="shared" si="6"/>
        <v>4911.75</v>
      </c>
      <c r="T20" s="96">
        <f t="shared" si="7"/>
        <v>35698.05</v>
      </c>
      <c r="U20"/>
      <c r="V20" s="15">
        <f t="shared" si="18"/>
        <v>55</v>
      </c>
      <c r="W20" s="27">
        <f t="shared" si="1"/>
        <v>1</v>
      </c>
      <c r="X20" s="98">
        <f t="shared" si="20"/>
        <v>7139.610000000001</v>
      </c>
      <c r="Y20" s="133">
        <f t="shared" si="21"/>
        <v>17849.025</v>
      </c>
      <c r="Z20" s="98">
        <f t="shared" si="22"/>
        <v>10709.415</v>
      </c>
      <c r="AA20" s="12">
        <f t="shared" si="11"/>
        <v>0</v>
      </c>
      <c r="AB20" s="27">
        <f t="shared" si="2"/>
        <v>0</v>
      </c>
      <c r="AC20" s="96">
        <f t="shared" si="23"/>
        <v>0</v>
      </c>
      <c r="AD20"/>
      <c r="AE20" s="99">
        <f t="shared" si="13"/>
        <v>3750</v>
      </c>
      <c r="AF20" s="99">
        <f t="shared" si="14"/>
        <v>1161.75</v>
      </c>
      <c r="AG20" s="99">
        <f t="shared" si="15"/>
        <v>4911.75</v>
      </c>
      <c r="AH20" s="95"/>
      <c r="AI20" s="95"/>
      <c r="AJ20" s="95">
        <f t="shared" si="16"/>
        <v>4911.75</v>
      </c>
      <c r="AK20" s="95">
        <f t="shared" si="24"/>
        <v>0</v>
      </c>
    </row>
    <row r="21" spans="1:37" s="29" customFormat="1" ht="15">
      <c r="A21" s="26" t="s">
        <v>170</v>
      </c>
      <c r="B21" s="182">
        <v>3513</v>
      </c>
      <c r="C21" s="7" t="s">
        <v>34</v>
      </c>
      <c r="D21" s="188" t="s">
        <v>176</v>
      </c>
      <c r="E21" s="188" t="s">
        <v>131</v>
      </c>
      <c r="F21" s="7" t="s">
        <v>0</v>
      </c>
      <c r="G21" t="s">
        <v>36</v>
      </c>
      <c r="H21" t="s">
        <v>186</v>
      </c>
      <c r="I21" s="5">
        <v>3</v>
      </c>
      <c r="J21" s="29">
        <v>27</v>
      </c>
      <c r="K21" s="100">
        <f>Table!$H$7*I21*J21</f>
        <v>19935.72</v>
      </c>
      <c r="L21" t="s">
        <v>75</v>
      </c>
      <c r="M21" s="29">
        <v>1</v>
      </c>
      <c r="N21" s="101">
        <v>50000</v>
      </c>
      <c r="O21" s="95">
        <f t="shared" si="19"/>
        <v>3750</v>
      </c>
      <c r="P21" s="95">
        <f>O21*Table!$H$1</f>
        <v>1161.75</v>
      </c>
      <c r="Q21" s="95">
        <f t="shared" si="5"/>
        <v>4911.75</v>
      </c>
      <c r="R21" s="95"/>
      <c r="S21" s="95">
        <f t="shared" si="6"/>
        <v>4911.75</v>
      </c>
      <c r="T21" s="96">
        <f t="shared" si="7"/>
        <v>15023.970000000001</v>
      </c>
      <c r="U21"/>
      <c r="V21" s="15">
        <f t="shared" si="18"/>
        <v>27</v>
      </c>
      <c r="W21" s="27">
        <f t="shared" si="1"/>
        <v>1</v>
      </c>
      <c r="X21" s="98">
        <f t="shared" si="20"/>
        <v>3004.7940000000003</v>
      </c>
      <c r="Y21" s="133">
        <f t="shared" si="21"/>
        <v>7511.985000000001</v>
      </c>
      <c r="Z21" s="98">
        <f t="shared" si="22"/>
        <v>4507.191</v>
      </c>
      <c r="AA21" s="12">
        <f t="shared" si="11"/>
        <v>0</v>
      </c>
      <c r="AB21" s="27">
        <f t="shared" si="2"/>
        <v>0</v>
      </c>
      <c r="AC21" s="96">
        <f t="shared" si="23"/>
        <v>0</v>
      </c>
      <c r="AD21"/>
      <c r="AE21" s="99">
        <f t="shared" si="13"/>
        <v>3750</v>
      </c>
      <c r="AF21" s="99">
        <f t="shared" si="14"/>
        <v>1161.75</v>
      </c>
      <c r="AG21" s="99">
        <f t="shared" si="15"/>
        <v>4911.75</v>
      </c>
      <c r="AH21" s="95"/>
      <c r="AI21" s="95"/>
      <c r="AJ21" s="95">
        <f t="shared" si="16"/>
        <v>4911.75</v>
      </c>
      <c r="AK21" s="95">
        <f t="shared" si="24"/>
        <v>0</v>
      </c>
    </row>
    <row r="22" spans="1:37" s="29" customFormat="1" ht="15">
      <c r="A22" s="26" t="s">
        <v>170</v>
      </c>
      <c r="B22" s="182">
        <v>3063</v>
      </c>
      <c r="C22" s="7" t="s">
        <v>34</v>
      </c>
      <c r="D22" s="188" t="s">
        <v>177</v>
      </c>
      <c r="E22" s="188" t="s">
        <v>131</v>
      </c>
      <c r="F22" s="7" t="s">
        <v>0</v>
      </c>
      <c r="G22" t="s">
        <v>36</v>
      </c>
      <c r="H22" t="s">
        <v>186</v>
      </c>
      <c r="I22" s="5">
        <v>3</v>
      </c>
      <c r="J22" s="29">
        <v>28</v>
      </c>
      <c r="K22" s="100">
        <f>Table!$H$7*I22*J22</f>
        <v>20674.08</v>
      </c>
      <c r="L22" t="s">
        <v>51</v>
      </c>
      <c r="M22" s="29">
        <v>1</v>
      </c>
      <c r="N22" s="101">
        <v>50000</v>
      </c>
      <c r="O22" s="95">
        <f t="shared" si="19"/>
        <v>3750</v>
      </c>
      <c r="P22" s="95">
        <f>O22*Table!$H$1</f>
        <v>1161.75</v>
      </c>
      <c r="Q22" s="95">
        <f t="shared" si="5"/>
        <v>4911.75</v>
      </c>
      <c r="R22" s="95"/>
      <c r="S22" s="95">
        <f t="shared" si="6"/>
        <v>4911.75</v>
      </c>
      <c r="T22" s="96">
        <f t="shared" si="7"/>
        <v>15762.330000000002</v>
      </c>
      <c r="U22"/>
      <c r="V22" s="15">
        <f t="shared" si="18"/>
        <v>28</v>
      </c>
      <c r="W22" s="27">
        <f t="shared" si="1"/>
        <v>1</v>
      </c>
      <c r="X22" s="98">
        <f t="shared" si="20"/>
        <v>3152.4660000000003</v>
      </c>
      <c r="Y22" s="133">
        <f t="shared" si="21"/>
        <v>7881.165000000001</v>
      </c>
      <c r="Z22" s="98">
        <f t="shared" si="22"/>
        <v>4728.6990000000005</v>
      </c>
      <c r="AA22" s="12">
        <f t="shared" si="11"/>
        <v>0</v>
      </c>
      <c r="AB22" s="27">
        <f t="shared" si="2"/>
        <v>0</v>
      </c>
      <c r="AC22" s="96">
        <f t="shared" si="23"/>
        <v>0</v>
      </c>
      <c r="AD22"/>
      <c r="AE22" s="99">
        <f t="shared" si="13"/>
        <v>3750</v>
      </c>
      <c r="AF22" s="99">
        <f t="shared" si="14"/>
        <v>1161.75</v>
      </c>
      <c r="AG22" s="99">
        <f t="shared" si="15"/>
        <v>4911.75</v>
      </c>
      <c r="AH22" s="95"/>
      <c r="AI22" s="95"/>
      <c r="AJ22" s="95">
        <f t="shared" si="16"/>
        <v>4911.75</v>
      </c>
      <c r="AK22" s="95">
        <f t="shared" si="24"/>
        <v>0</v>
      </c>
    </row>
    <row r="23" spans="1:37" s="29" customFormat="1" ht="15">
      <c r="A23" s="26" t="s">
        <v>165</v>
      </c>
      <c r="B23" s="182">
        <v>3503</v>
      </c>
      <c r="C23" s="7" t="s">
        <v>34</v>
      </c>
      <c r="D23" s="188" t="s">
        <v>178</v>
      </c>
      <c r="E23" s="188" t="s">
        <v>120</v>
      </c>
      <c r="F23" s="7" t="s">
        <v>0</v>
      </c>
      <c r="G23" t="s">
        <v>36</v>
      </c>
      <c r="H23" t="s">
        <v>186</v>
      </c>
      <c r="I23" s="5">
        <v>3</v>
      </c>
      <c r="J23" s="29">
        <v>27</v>
      </c>
      <c r="K23" s="100">
        <f>Table!$H$7*I23*J23</f>
        <v>19935.72</v>
      </c>
      <c r="L23" t="s">
        <v>47</v>
      </c>
      <c r="M23" s="29">
        <v>1</v>
      </c>
      <c r="N23" s="101">
        <v>50000</v>
      </c>
      <c r="O23" s="95">
        <f t="shared" si="19"/>
        <v>6000</v>
      </c>
      <c r="P23" s="95">
        <f>O23*Table!$H$1</f>
        <v>1858.8000000000002</v>
      </c>
      <c r="Q23" s="95">
        <f t="shared" si="5"/>
        <v>7858.8</v>
      </c>
      <c r="R23" s="95"/>
      <c r="S23" s="95">
        <f t="shared" si="6"/>
        <v>7858.8</v>
      </c>
      <c r="T23" s="96">
        <f t="shared" si="7"/>
        <v>12076.920000000002</v>
      </c>
      <c r="U23"/>
      <c r="V23" s="15">
        <f t="shared" si="18"/>
        <v>27</v>
      </c>
      <c r="W23" s="27">
        <f t="shared" si="1"/>
        <v>1</v>
      </c>
      <c r="X23" s="98">
        <f t="shared" si="20"/>
        <v>2415.3840000000005</v>
      </c>
      <c r="Y23" s="133">
        <f t="shared" si="21"/>
        <v>6038.460000000001</v>
      </c>
      <c r="Z23" s="98">
        <f t="shared" si="22"/>
        <v>3623.0760000000005</v>
      </c>
      <c r="AA23" s="12">
        <f t="shared" si="11"/>
        <v>0</v>
      </c>
      <c r="AB23" s="27">
        <f t="shared" si="2"/>
        <v>0</v>
      </c>
      <c r="AC23" s="96">
        <f t="shared" si="23"/>
        <v>0</v>
      </c>
      <c r="AD23"/>
      <c r="AE23" s="99">
        <f t="shared" si="13"/>
        <v>6000</v>
      </c>
      <c r="AF23" s="99">
        <f t="shared" si="14"/>
        <v>1858.8000000000002</v>
      </c>
      <c r="AG23" s="99">
        <f t="shared" si="15"/>
        <v>7858.8</v>
      </c>
      <c r="AH23" s="95"/>
      <c r="AI23" s="95"/>
      <c r="AJ23" s="95">
        <f t="shared" si="16"/>
        <v>7858.8</v>
      </c>
      <c r="AK23" s="95">
        <f t="shared" si="24"/>
        <v>0</v>
      </c>
    </row>
    <row r="24" spans="1:37" s="29" customFormat="1" ht="15">
      <c r="A24" s="26" t="s">
        <v>165</v>
      </c>
      <c r="B24" s="182">
        <v>4013</v>
      </c>
      <c r="C24" s="7" t="s">
        <v>34</v>
      </c>
      <c r="D24" s="188" t="s">
        <v>179</v>
      </c>
      <c r="E24" s="188" t="s">
        <v>131</v>
      </c>
      <c r="F24" s="7" t="s">
        <v>0</v>
      </c>
      <c r="G24" t="s">
        <v>36</v>
      </c>
      <c r="H24" t="s">
        <v>186</v>
      </c>
      <c r="I24" s="5">
        <v>3</v>
      </c>
      <c r="J24" s="29">
        <v>28</v>
      </c>
      <c r="K24" s="100">
        <f>Table!$H$7*I24*J24</f>
        <v>20674.08</v>
      </c>
      <c r="L24" t="s">
        <v>50</v>
      </c>
      <c r="M24" s="29">
        <v>1</v>
      </c>
      <c r="N24" s="101">
        <v>50000</v>
      </c>
      <c r="O24" s="95">
        <f t="shared" si="19"/>
        <v>3750</v>
      </c>
      <c r="P24" s="95">
        <f>O24*Table!$H$1</f>
        <v>1161.75</v>
      </c>
      <c r="Q24" s="95">
        <f t="shared" si="5"/>
        <v>4911.75</v>
      </c>
      <c r="R24" s="95"/>
      <c r="S24" s="95">
        <f t="shared" si="6"/>
        <v>4911.75</v>
      </c>
      <c r="T24" s="96">
        <f t="shared" si="7"/>
        <v>15762.330000000002</v>
      </c>
      <c r="U24"/>
      <c r="V24" s="15">
        <f t="shared" si="18"/>
        <v>28</v>
      </c>
      <c r="W24" s="27">
        <f t="shared" si="1"/>
        <v>1</v>
      </c>
      <c r="X24" s="98">
        <f t="shared" si="20"/>
        <v>3152.4660000000003</v>
      </c>
      <c r="Y24" s="133">
        <f t="shared" si="21"/>
        <v>7881.165000000001</v>
      </c>
      <c r="Z24" s="98">
        <f t="shared" si="22"/>
        <v>4728.6990000000005</v>
      </c>
      <c r="AA24" s="12">
        <f t="shared" si="11"/>
        <v>0</v>
      </c>
      <c r="AB24" s="27">
        <f t="shared" si="2"/>
        <v>0</v>
      </c>
      <c r="AC24" s="96">
        <f t="shared" si="23"/>
        <v>0</v>
      </c>
      <c r="AD24"/>
      <c r="AE24" s="99" t="str">
        <f t="shared" si="13"/>
        <v>0.00</v>
      </c>
      <c r="AF24" s="99" t="str">
        <f t="shared" si="14"/>
        <v>0.00</v>
      </c>
      <c r="AG24" s="99" t="str">
        <f t="shared" si="15"/>
        <v>0.00</v>
      </c>
      <c r="AH24" s="95"/>
      <c r="AI24" s="95"/>
      <c r="AJ24" s="95">
        <f t="shared" si="16"/>
        <v>0</v>
      </c>
      <c r="AK24" s="95">
        <f t="shared" si="24"/>
        <v>4911.75</v>
      </c>
    </row>
    <row r="25" spans="1:37" s="29" customFormat="1" ht="15">
      <c r="A25" s="26" t="s">
        <v>165</v>
      </c>
      <c r="B25" s="182">
        <v>4043</v>
      </c>
      <c r="C25" s="7" t="s">
        <v>34</v>
      </c>
      <c r="D25" s="188" t="s">
        <v>180</v>
      </c>
      <c r="E25" s="188" t="s">
        <v>192</v>
      </c>
      <c r="F25" s="7" t="s">
        <v>0</v>
      </c>
      <c r="G25" t="s">
        <v>36</v>
      </c>
      <c r="H25" t="s">
        <v>186</v>
      </c>
      <c r="I25" s="5">
        <v>3</v>
      </c>
      <c r="J25" s="29">
        <v>27</v>
      </c>
      <c r="K25" s="100">
        <f>Table!$H$7*I25*J25</f>
        <v>19935.72</v>
      </c>
      <c r="L25" t="s">
        <v>75</v>
      </c>
      <c r="M25" s="29">
        <v>1</v>
      </c>
      <c r="N25" s="101">
        <v>50000</v>
      </c>
      <c r="O25" s="95">
        <f t="shared" si="19"/>
        <v>3750</v>
      </c>
      <c r="P25" s="95">
        <f>O25*Table!$H$1</f>
        <v>1161.75</v>
      </c>
      <c r="Q25" s="95">
        <f t="shared" si="5"/>
        <v>4911.75</v>
      </c>
      <c r="R25" s="95"/>
      <c r="S25" s="95">
        <f t="shared" si="6"/>
        <v>4911.75</v>
      </c>
      <c r="T25" s="96">
        <f t="shared" si="7"/>
        <v>15023.970000000001</v>
      </c>
      <c r="U25"/>
      <c r="V25" s="15">
        <f t="shared" si="18"/>
        <v>27</v>
      </c>
      <c r="W25" s="27">
        <f t="shared" si="1"/>
        <v>1</v>
      </c>
      <c r="X25" s="98">
        <f t="shared" si="20"/>
        <v>3004.7940000000003</v>
      </c>
      <c r="Y25" s="133">
        <f t="shared" si="21"/>
        <v>7511.985000000001</v>
      </c>
      <c r="Z25" s="98">
        <f t="shared" si="22"/>
        <v>4507.191</v>
      </c>
      <c r="AA25" s="12">
        <f t="shared" si="11"/>
        <v>0</v>
      </c>
      <c r="AB25" s="27">
        <f t="shared" si="2"/>
        <v>0</v>
      </c>
      <c r="AC25" s="96">
        <f t="shared" si="23"/>
        <v>0</v>
      </c>
      <c r="AD25"/>
      <c r="AE25" s="99">
        <f t="shared" si="13"/>
        <v>3750</v>
      </c>
      <c r="AF25" s="99">
        <f t="shared" si="14"/>
        <v>1161.75</v>
      </c>
      <c r="AG25" s="99">
        <f t="shared" si="15"/>
        <v>4911.75</v>
      </c>
      <c r="AH25" s="95"/>
      <c r="AI25" s="95"/>
      <c r="AJ25" s="95">
        <f t="shared" si="16"/>
        <v>4911.75</v>
      </c>
      <c r="AK25" s="95">
        <f t="shared" si="24"/>
        <v>0</v>
      </c>
    </row>
    <row r="26" spans="1:37" s="29" customFormat="1" ht="15">
      <c r="A26" s="26" t="s">
        <v>167</v>
      </c>
      <c r="B26" s="182">
        <v>4013</v>
      </c>
      <c r="C26" s="7" t="s">
        <v>34</v>
      </c>
      <c r="D26" s="188" t="s">
        <v>181</v>
      </c>
      <c r="E26" s="188" t="s">
        <v>192</v>
      </c>
      <c r="F26" s="7" t="s">
        <v>0</v>
      </c>
      <c r="G26" t="s">
        <v>36</v>
      </c>
      <c r="H26" t="s">
        <v>186</v>
      </c>
      <c r="I26" s="5">
        <v>3</v>
      </c>
      <c r="J26" s="29">
        <v>28</v>
      </c>
      <c r="K26" s="100">
        <f>Table!$H$7*I26*J26</f>
        <v>20674.08</v>
      </c>
      <c r="L26" t="s">
        <v>50</v>
      </c>
      <c r="M26" s="29">
        <v>1</v>
      </c>
      <c r="N26" s="101">
        <v>50000</v>
      </c>
      <c r="O26" s="95">
        <f t="shared" si="19"/>
        <v>3750</v>
      </c>
      <c r="P26" s="95">
        <f>O26*Table!$H$1</f>
        <v>1161.75</v>
      </c>
      <c r="Q26" s="95">
        <f t="shared" si="5"/>
        <v>4911.75</v>
      </c>
      <c r="R26" s="95"/>
      <c r="S26" s="95">
        <f t="shared" si="6"/>
        <v>4911.75</v>
      </c>
      <c r="T26" s="96">
        <f t="shared" si="7"/>
        <v>15762.330000000002</v>
      </c>
      <c r="U26"/>
      <c r="V26" s="15">
        <f t="shared" si="18"/>
        <v>28</v>
      </c>
      <c r="W26" s="27">
        <f t="shared" si="1"/>
        <v>1</v>
      </c>
      <c r="X26" s="98">
        <f t="shared" si="20"/>
        <v>3152.4660000000003</v>
      </c>
      <c r="Y26" s="133">
        <f t="shared" si="21"/>
        <v>7881.165000000001</v>
      </c>
      <c r="Z26" s="98">
        <f t="shared" si="22"/>
        <v>4728.6990000000005</v>
      </c>
      <c r="AA26" s="12">
        <f t="shared" si="11"/>
        <v>0</v>
      </c>
      <c r="AB26" s="27">
        <f t="shared" si="2"/>
        <v>0</v>
      </c>
      <c r="AC26" s="96">
        <f t="shared" si="23"/>
        <v>0</v>
      </c>
      <c r="AD26"/>
      <c r="AE26" s="99" t="str">
        <f t="shared" si="13"/>
        <v>0.00</v>
      </c>
      <c r="AF26" s="99" t="str">
        <f t="shared" si="14"/>
        <v>0.00</v>
      </c>
      <c r="AG26" s="99" t="str">
        <f t="shared" si="15"/>
        <v>0.00</v>
      </c>
      <c r="AH26" s="95"/>
      <c r="AI26" s="95"/>
      <c r="AJ26" s="95">
        <f t="shared" si="16"/>
        <v>0</v>
      </c>
      <c r="AK26" s="95">
        <f t="shared" si="24"/>
        <v>4911.75</v>
      </c>
    </row>
    <row r="27" spans="1:37" s="29" customFormat="1" ht="15">
      <c r="A27" s="26" t="s">
        <v>165</v>
      </c>
      <c r="B27" s="182">
        <v>3413</v>
      </c>
      <c r="C27" s="7" t="s">
        <v>34</v>
      </c>
      <c r="D27" s="188" t="s">
        <v>179</v>
      </c>
      <c r="E27" s="188" t="s">
        <v>192</v>
      </c>
      <c r="F27" s="7" t="s">
        <v>0</v>
      </c>
      <c r="G27" t="s">
        <v>36</v>
      </c>
      <c r="H27" t="s">
        <v>186</v>
      </c>
      <c r="I27" s="5">
        <v>3</v>
      </c>
      <c r="J27" s="29">
        <v>27</v>
      </c>
      <c r="K27" s="100">
        <f>Table!$H$7*I27*J27</f>
        <v>19935.72</v>
      </c>
      <c r="L27" t="s">
        <v>50</v>
      </c>
      <c r="M27" s="29">
        <v>1</v>
      </c>
      <c r="N27" s="101">
        <v>50000</v>
      </c>
      <c r="O27" s="95">
        <f t="shared" si="19"/>
        <v>3750</v>
      </c>
      <c r="P27" s="95">
        <f>O27*Table!$H$1</f>
        <v>1161.75</v>
      </c>
      <c r="Q27" s="95">
        <f t="shared" si="5"/>
        <v>4911.75</v>
      </c>
      <c r="R27" s="95"/>
      <c r="S27" s="95">
        <f t="shared" si="6"/>
        <v>4911.75</v>
      </c>
      <c r="T27" s="96">
        <f t="shared" si="7"/>
        <v>15023.970000000001</v>
      </c>
      <c r="U27"/>
      <c r="V27" s="15">
        <f t="shared" si="18"/>
        <v>27</v>
      </c>
      <c r="W27" s="27">
        <f t="shared" si="1"/>
        <v>1</v>
      </c>
      <c r="X27" s="98">
        <f t="shared" si="20"/>
        <v>3004.7940000000003</v>
      </c>
      <c r="Y27" s="133">
        <f t="shared" si="21"/>
        <v>7511.985000000001</v>
      </c>
      <c r="Z27" s="98">
        <f t="shared" si="22"/>
        <v>4507.191</v>
      </c>
      <c r="AA27" s="12">
        <f t="shared" si="11"/>
        <v>0</v>
      </c>
      <c r="AB27" s="27">
        <f t="shared" si="2"/>
        <v>0</v>
      </c>
      <c r="AC27" s="96">
        <f t="shared" si="23"/>
        <v>0</v>
      </c>
      <c r="AD27"/>
      <c r="AE27" s="99" t="str">
        <f t="shared" si="13"/>
        <v>0.00</v>
      </c>
      <c r="AF27" s="99" t="str">
        <f t="shared" si="14"/>
        <v>0.00</v>
      </c>
      <c r="AG27" s="99" t="str">
        <f t="shared" si="15"/>
        <v>0.00</v>
      </c>
      <c r="AH27" s="95"/>
      <c r="AI27" s="95"/>
      <c r="AJ27" s="95">
        <f t="shared" si="16"/>
        <v>0</v>
      </c>
      <c r="AK27" s="95">
        <f t="shared" si="24"/>
        <v>4911.75</v>
      </c>
    </row>
    <row r="28" spans="1:37" s="29" customFormat="1" ht="15">
      <c r="A28" s="26" t="s">
        <v>167</v>
      </c>
      <c r="B28" s="182">
        <v>3413</v>
      </c>
      <c r="C28" s="7" t="s">
        <v>34</v>
      </c>
      <c r="D28" s="188" t="s">
        <v>181</v>
      </c>
      <c r="E28" s="188" t="s">
        <v>131</v>
      </c>
      <c r="F28" s="7" t="s">
        <v>0</v>
      </c>
      <c r="G28" t="s">
        <v>36</v>
      </c>
      <c r="H28" t="s">
        <v>186</v>
      </c>
      <c r="I28" s="5">
        <v>3</v>
      </c>
      <c r="J28" s="29">
        <v>28</v>
      </c>
      <c r="K28" s="100">
        <f>Table!$H$7*I28*J28</f>
        <v>20674.08</v>
      </c>
      <c r="L28" t="s">
        <v>50</v>
      </c>
      <c r="M28" s="29">
        <v>1</v>
      </c>
      <c r="N28" s="101">
        <v>50000</v>
      </c>
      <c r="O28" s="95">
        <f t="shared" si="19"/>
        <v>3750</v>
      </c>
      <c r="P28" s="95">
        <f>O28*Table!$H$1</f>
        <v>1161.75</v>
      </c>
      <c r="Q28" s="95">
        <f t="shared" si="5"/>
        <v>4911.75</v>
      </c>
      <c r="R28" s="95"/>
      <c r="S28" s="95">
        <f t="shared" si="6"/>
        <v>4911.75</v>
      </c>
      <c r="T28" s="96">
        <f t="shared" si="7"/>
        <v>15762.330000000002</v>
      </c>
      <c r="U28"/>
      <c r="V28" s="15">
        <f t="shared" si="18"/>
        <v>28</v>
      </c>
      <c r="W28" s="27">
        <f t="shared" si="1"/>
        <v>1</v>
      </c>
      <c r="X28" s="98">
        <f t="shared" si="20"/>
        <v>3152.4660000000003</v>
      </c>
      <c r="Y28" s="133">
        <f t="shared" si="21"/>
        <v>7881.165000000001</v>
      </c>
      <c r="Z28" s="98">
        <f t="shared" si="22"/>
        <v>4728.6990000000005</v>
      </c>
      <c r="AA28" s="12">
        <f t="shared" si="11"/>
        <v>0</v>
      </c>
      <c r="AB28" s="27">
        <f t="shared" si="2"/>
        <v>0</v>
      </c>
      <c r="AC28" s="96">
        <f t="shared" si="23"/>
        <v>0</v>
      </c>
      <c r="AD28"/>
      <c r="AE28" s="99" t="str">
        <f t="shared" si="13"/>
        <v>0.00</v>
      </c>
      <c r="AF28" s="99" t="str">
        <f t="shared" si="14"/>
        <v>0.00</v>
      </c>
      <c r="AG28" s="99" t="str">
        <f t="shared" si="15"/>
        <v>0.00</v>
      </c>
      <c r="AH28" s="95"/>
      <c r="AI28" s="95"/>
      <c r="AJ28" s="95">
        <f t="shared" si="16"/>
        <v>0</v>
      </c>
      <c r="AK28" s="95">
        <f t="shared" si="24"/>
        <v>4911.75</v>
      </c>
    </row>
    <row r="29" spans="25:37" ht="15">
      <c r="Y29" s="77"/>
      <c r="AE29" s="28"/>
      <c r="AF29" s="28"/>
      <c r="AG29" s="28"/>
      <c r="AH29" s="28"/>
      <c r="AI29" s="28"/>
      <c r="AJ29" s="28"/>
      <c r="AK29" s="28"/>
    </row>
    <row r="30" spans="1:37" s="29" customFormat="1" ht="15">
      <c r="A30" s="56"/>
      <c r="I30" s="57"/>
      <c r="K30" s="58"/>
      <c r="N30" s="59"/>
      <c r="O30" s="60"/>
      <c r="P30" s="60"/>
      <c r="Q30" s="60"/>
      <c r="R30"/>
      <c r="S30"/>
      <c r="T30"/>
      <c r="U30"/>
      <c r="V30"/>
      <c r="W30"/>
      <c r="X30"/>
      <c r="Y30" s="77"/>
      <c r="Z30"/>
      <c r="AA30"/>
      <c r="AB30"/>
      <c r="AC30"/>
      <c r="AD30"/>
      <c r="AE30" s="28"/>
      <c r="AF30" s="28"/>
      <c r="AG30" s="28"/>
      <c r="AH30" s="28"/>
      <c r="AI30" s="28"/>
      <c r="AJ30" s="28"/>
      <c r="AK30" s="28"/>
    </row>
    <row r="31" spans="1:30" s="29" customFormat="1" ht="15">
      <c r="A31" s="56"/>
      <c r="I31" s="57"/>
      <c r="K31" s="58"/>
      <c r="N31" s="59"/>
      <c r="O31" s="60"/>
      <c r="P31" s="60"/>
      <c r="Q31" s="60"/>
      <c r="R31" s="61"/>
      <c r="S31" s="60"/>
      <c r="T31" s="60"/>
      <c r="U31"/>
      <c r="V31" s="60"/>
      <c r="W31" s="62"/>
      <c r="Y31" s="134"/>
      <c r="AD31"/>
    </row>
    <row r="32" spans="1:30" s="29" customFormat="1" ht="15">
      <c r="A32" s="56"/>
      <c r="I32" s="57"/>
      <c r="K32" s="58"/>
      <c r="N32" s="59"/>
      <c r="O32" s="60"/>
      <c r="P32" s="60"/>
      <c r="Q32" s="60"/>
      <c r="R32" s="61"/>
      <c r="S32" s="60"/>
      <c r="T32" s="60"/>
      <c r="U32" s="148"/>
      <c r="V32" s="60"/>
      <c r="W32" s="62"/>
      <c r="Y32" s="134"/>
      <c r="AD32" s="148"/>
    </row>
    <row r="33" spans="1:37" s="29" customFormat="1" ht="15">
      <c r="A33" s="190" t="s">
        <v>182</v>
      </c>
      <c r="B33" s="187"/>
      <c r="C33" s="187"/>
      <c r="I33" s="57"/>
      <c r="J33" s="63"/>
      <c r="K33" s="144"/>
      <c r="L33" s="145"/>
      <c r="M33" s="146"/>
      <c r="N33" s="146"/>
      <c r="O33" s="147"/>
      <c r="P33" s="147"/>
      <c r="Q33" s="147"/>
      <c r="R33" s="147"/>
      <c r="S33" s="147"/>
      <c r="T33" s="144"/>
      <c r="U33" s="148"/>
      <c r="V33" s="149"/>
      <c r="W33" s="150"/>
      <c r="X33" s="151"/>
      <c r="Y33" s="152"/>
      <c r="Z33" s="151"/>
      <c r="AA33" s="149"/>
      <c r="AB33" s="150"/>
      <c r="AC33" s="144"/>
      <c r="AD33" s="148"/>
      <c r="AE33" s="147"/>
      <c r="AF33" s="147"/>
      <c r="AG33" s="147"/>
      <c r="AH33" s="147"/>
      <c r="AI33" s="147"/>
      <c r="AJ33" s="147"/>
      <c r="AK33" s="147"/>
    </row>
    <row r="34" spans="1:30" s="29" customFormat="1" ht="15">
      <c r="A34" s="189" t="s">
        <v>183</v>
      </c>
      <c r="B34" s="188"/>
      <c r="C34" s="188"/>
      <c r="I34" s="57"/>
      <c r="K34" s="58"/>
      <c r="N34" s="59"/>
      <c r="O34" s="60"/>
      <c r="P34" s="60"/>
      <c r="Q34" s="60"/>
      <c r="R34" s="61"/>
      <c r="S34" s="60"/>
      <c r="T34" s="60"/>
      <c r="U34" s="148"/>
      <c r="V34" s="60"/>
      <c r="W34" s="62"/>
      <c r="Y34" s="134"/>
      <c r="AD34" s="148"/>
    </row>
    <row r="35" spans="1:30" s="29" customFormat="1" ht="15">
      <c r="A35" s="56"/>
      <c r="I35" s="57"/>
      <c r="K35" s="58"/>
      <c r="N35" s="59"/>
      <c r="O35" s="60"/>
      <c r="P35" s="60"/>
      <c r="Q35" s="60"/>
      <c r="R35" s="61"/>
      <c r="S35" s="60"/>
      <c r="T35" s="60"/>
      <c r="U35" s="148"/>
      <c r="V35" s="60"/>
      <c r="W35" s="62"/>
      <c r="Y35" s="134"/>
      <c r="AD35" s="148"/>
    </row>
    <row r="36" spans="1:37" s="29" customFormat="1" ht="15">
      <c r="A36" s="56"/>
      <c r="I36" s="57"/>
      <c r="J36" s="153"/>
      <c r="K36" s="144"/>
      <c r="L36" s="145"/>
      <c r="M36" s="146"/>
      <c r="N36" s="146"/>
      <c r="O36" s="147"/>
      <c r="P36" s="147"/>
      <c r="Q36" s="147"/>
      <c r="R36" s="147"/>
      <c r="S36" s="147"/>
      <c r="T36" s="144"/>
      <c r="U36" s="148"/>
      <c r="V36" s="149"/>
      <c r="W36" s="150"/>
      <c r="X36" s="151"/>
      <c r="Y36" s="152"/>
      <c r="Z36" s="151"/>
      <c r="AA36" s="149"/>
      <c r="AB36" s="150"/>
      <c r="AC36" s="144"/>
      <c r="AD36" s="148"/>
      <c r="AE36" s="147"/>
      <c r="AF36" s="147"/>
      <c r="AG36" s="147"/>
      <c r="AH36" s="147"/>
      <c r="AI36" s="147"/>
      <c r="AJ36" s="147"/>
      <c r="AK36" s="147"/>
    </row>
    <row r="37" spans="1:30" s="29" customFormat="1" ht="15">
      <c r="A37" s="56"/>
      <c r="I37" s="57"/>
      <c r="J37" s="119"/>
      <c r="K37" s="58"/>
      <c r="N37" s="59"/>
      <c r="O37" s="60"/>
      <c r="P37" s="60"/>
      <c r="Q37" s="60"/>
      <c r="R37" s="61"/>
      <c r="S37" s="60"/>
      <c r="T37" s="60"/>
      <c r="U37" s="148"/>
      <c r="V37" s="60"/>
      <c r="W37" s="62"/>
      <c r="Y37" s="134"/>
      <c r="AD37" s="148"/>
    </row>
    <row r="38" spans="1:37" s="29" customFormat="1" ht="15">
      <c r="A38" s="56"/>
      <c r="I38" s="57"/>
      <c r="J38" s="153"/>
      <c r="K38" s="144"/>
      <c r="L38" s="145"/>
      <c r="M38" s="146"/>
      <c r="N38" s="146"/>
      <c r="O38" s="147"/>
      <c r="P38" s="147"/>
      <c r="Q38" s="147"/>
      <c r="R38" s="147"/>
      <c r="S38" s="147"/>
      <c r="T38" s="144"/>
      <c r="U38" s="148"/>
      <c r="V38" s="149"/>
      <c r="W38" s="150"/>
      <c r="X38" s="151"/>
      <c r="Y38" s="152"/>
      <c r="Z38" s="151"/>
      <c r="AA38" s="149"/>
      <c r="AB38" s="150"/>
      <c r="AC38" s="144"/>
      <c r="AD38" s="148"/>
      <c r="AE38" s="147"/>
      <c r="AF38" s="147"/>
      <c r="AG38" s="147"/>
      <c r="AH38" s="147"/>
      <c r="AI38" s="147"/>
      <c r="AJ38" s="147"/>
      <c r="AK38" s="147"/>
    </row>
    <row r="39" spans="1:30" s="29" customFormat="1" ht="15">
      <c r="A39" s="56"/>
      <c r="I39" s="57"/>
      <c r="J39" s="119"/>
      <c r="K39" s="58"/>
      <c r="N39" s="59"/>
      <c r="O39" s="60"/>
      <c r="P39" s="60"/>
      <c r="Q39" s="60"/>
      <c r="R39" s="61"/>
      <c r="S39" s="60"/>
      <c r="T39" s="60"/>
      <c r="U39" s="148"/>
      <c r="V39" s="60"/>
      <c r="W39" s="62"/>
      <c r="Y39" s="134"/>
      <c r="AD39" s="148"/>
    </row>
    <row r="40" spans="1:30" s="29" customFormat="1" ht="15">
      <c r="A40" s="56"/>
      <c r="I40" s="57"/>
      <c r="J40" s="119"/>
      <c r="K40" s="58"/>
      <c r="N40" s="59"/>
      <c r="O40" s="60"/>
      <c r="P40" s="60"/>
      <c r="Q40" s="60"/>
      <c r="R40" s="61"/>
      <c r="S40" s="60"/>
      <c r="T40" s="60"/>
      <c r="U40" s="148"/>
      <c r="V40" s="60"/>
      <c r="W40" s="62"/>
      <c r="Y40" s="134"/>
      <c r="AD40" s="148"/>
    </row>
    <row r="41" spans="1:37" s="29" customFormat="1" ht="15">
      <c r="A41" s="56"/>
      <c r="I41" s="57"/>
      <c r="J41" s="153"/>
      <c r="K41" s="144"/>
      <c r="L41" s="145"/>
      <c r="M41" s="146"/>
      <c r="N41" s="146"/>
      <c r="O41" s="147"/>
      <c r="P41" s="147"/>
      <c r="Q41" s="147"/>
      <c r="R41" s="147"/>
      <c r="S41" s="147"/>
      <c r="T41" s="144"/>
      <c r="U41" s="148"/>
      <c r="V41" s="149"/>
      <c r="W41" s="150"/>
      <c r="X41" s="151"/>
      <c r="Y41" s="152"/>
      <c r="Z41" s="151"/>
      <c r="AA41" s="149"/>
      <c r="AB41" s="150"/>
      <c r="AC41" s="144"/>
      <c r="AD41" s="148"/>
      <c r="AE41" s="147"/>
      <c r="AF41" s="147"/>
      <c r="AG41" s="147"/>
      <c r="AH41" s="147"/>
      <c r="AI41" s="147"/>
      <c r="AJ41" s="147"/>
      <c r="AK41" s="147"/>
    </row>
    <row r="42" spans="1:30" s="29" customFormat="1" ht="15">
      <c r="A42" s="56"/>
      <c r="I42" s="57"/>
      <c r="J42" s="119"/>
      <c r="K42" s="58"/>
      <c r="N42" s="59"/>
      <c r="O42" s="60"/>
      <c r="P42" s="60"/>
      <c r="Q42" s="60"/>
      <c r="R42" s="61"/>
      <c r="S42" s="60"/>
      <c r="T42" s="60"/>
      <c r="U42" s="148"/>
      <c r="V42" s="60"/>
      <c r="W42" s="62"/>
      <c r="Y42" s="134"/>
      <c r="AD42" s="148"/>
    </row>
    <row r="43" spans="1:37" s="29" customFormat="1" ht="15">
      <c r="A43" s="56"/>
      <c r="I43" s="57"/>
      <c r="J43" s="153"/>
      <c r="K43" s="144"/>
      <c r="L43" s="145"/>
      <c r="M43" s="146"/>
      <c r="N43" s="146"/>
      <c r="O43" s="147"/>
      <c r="P43" s="147"/>
      <c r="Q43" s="147"/>
      <c r="R43" s="147"/>
      <c r="S43" s="147"/>
      <c r="T43" s="144"/>
      <c r="U43" s="148"/>
      <c r="V43" s="149"/>
      <c r="W43" s="150"/>
      <c r="X43" s="151"/>
      <c r="Y43" s="152"/>
      <c r="Z43" s="151"/>
      <c r="AA43" s="149"/>
      <c r="AB43" s="150"/>
      <c r="AC43" s="144"/>
      <c r="AD43" s="148"/>
      <c r="AE43" s="147"/>
      <c r="AF43" s="147"/>
      <c r="AG43" s="147"/>
      <c r="AH43" s="147"/>
      <c r="AI43" s="147"/>
      <c r="AJ43" s="147"/>
      <c r="AK43" s="147"/>
    </row>
    <row r="44" spans="1:30" s="29" customFormat="1" ht="15">
      <c r="A44" s="56"/>
      <c r="I44" s="57"/>
      <c r="K44" s="58"/>
      <c r="N44" s="59"/>
      <c r="O44" s="60"/>
      <c r="P44" s="60"/>
      <c r="Q44" s="60"/>
      <c r="R44" s="61"/>
      <c r="S44" s="60"/>
      <c r="T44" s="60"/>
      <c r="U44" s="148"/>
      <c r="V44" s="60"/>
      <c r="W44" s="62"/>
      <c r="Y44" s="134"/>
      <c r="AB44" s="63"/>
      <c r="AC44" s="63"/>
      <c r="AD44" s="148"/>
    </row>
    <row r="45" spans="1:30" s="29" customFormat="1" ht="15">
      <c r="A45" s="64"/>
      <c r="C45" s="63"/>
      <c r="F45" s="63"/>
      <c r="I45" s="57"/>
      <c r="K45" s="58"/>
      <c r="N45" s="59"/>
      <c r="O45" s="60"/>
      <c r="P45" s="60"/>
      <c r="Q45" s="60"/>
      <c r="R45" s="61"/>
      <c r="S45" s="60"/>
      <c r="T45" s="60"/>
      <c r="U45" s="148"/>
      <c r="V45" s="60"/>
      <c r="W45" s="62"/>
      <c r="Y45" s="134"/>
      <c r="AD45" s="148"/>
    </row>
    <row r="46" spans="1:37" s="29" customFormat="1" ht="15">
      <c r="A46" s="64"/>
      <c r="C46" s="63"/>
      <c r="F46" s="63"/>
      <c r="I46" s="57"/>
      <c r="J46" s="63"/>
      <c r="K46" s="144"/>
      <c r="L46" s="145"/>
      <c r="M46" s="146"/>
      <c r="N46" s="146"/>
      <c r="O46" s="147"/>
      <c r="P46" s="147"/>
      <c r="Q46" s="147"/>
      <c r="R46" s="147"/>
      <c r="S46" s="147"/>
      <c r="T46" s="144"/>
      <c r="U46" s="148"/>
      <c r="V46" s="149"/>
      <c r="W46" s="150"/>
      <c r="X46" s="151"/>
      <c r="Y46" s="152"/>
      <c r="Z46" s="151"/>
      <c r="AA46" s="149"/>
      <c r="AB46" s="150"/>
      <c r="AC46" s="144"/>
      <c r="AD46" s="148"/>
      <c r="AE46" s="147"/>
      <c r="AF46" s="147"/>
      <c r="AG46" s="147"/>
      <c r="AH46" s="147"/>
      <c r="AI46" s="147"/>
      <c r="AJ46" s="147"/>
      <c r="AK46" s="147"/>
    </row>
    <row r="47" spans="1:30" s="29" customFormat="1" ht="15">
      <c r="A47" s="64"/>
      <c r="C47" s="63"/>
      <c r="F47" s="63"/>
      <c r="I47" s="57"/>
      <c r="K47" s="58"/>
      <c r="N47" s="59"/>
      <c r="O47" s="60"/>
      <c r="P47" s="60"/>
      <c r="Q47" s="60"/>
      <c r="R47" s="61"/>
      <c r="S47" s="60"/>
      <c r="T47" s="60"/>
      <c r="U47" s="148"/>
      <c r="V47" s="60"/>
      <c r="W47" s="62"/>
      <c r="Y47" s="134"/>
      <c r="AD47" s="148"/>
    </row>
    <row r="48" spans="1:37" s="29" customFormat="1" ht="15">
      <c r="A48" s="64"/>
      <c r="C48" s="63"/>
      <c r="F48" s="63"/>
      <c r="I48" s="57"/>
      <c r="J48" s="63"/>
      <c r="K48" s="144"/>
      <c r="L48" s="145"/>
      <c r="M48" s="146"/>
      <c r="N48" s="146"/>
      <c r="O48" s="147"/>
      <c r="P48" s="147"/>
      <c r="Q48" s="147"/>
      <c r="R48" s="147"/>
      <c r="S48" s="147"/>
      <c r="T48" s="144"/>
      <c r="U48" s="148"/>
      <c r="V48" s="149"/>
      <c r="W48" s="150"/>
      <c r="X48" s="151"/>
      <c r="Y48" s="152"/>
      <c r="Z48" s="151"/>
      <c r="AA48" s="149"/>
      <c r="AB48" s="150"/>
      <c r="AC48" s="144"/>
      <c r="AD48" s="148"/>
      <c r="AE48" s="147"/>
      <c r="AF48" s="147"/>
      <c r="AG48" s="147"/>
      <c r="AH48" s="147"/>
      <c r="AI48" s="147"/>
      <c r="AJ48" s="147"/>
      <c r="AK48" s="147"/>
    </row>
    <row r="49" spans="1:30" s="29" customFormat="1" ht="15">
      <c r="A49" s="64"/>
      <c r="C49" s="63"/>
      <c r="F49" s="63"/>
      <c r="I49" s="57"/>
      <c r="K49" s="58"/>
      <c r="N49" s="59"/>
      <c r="O49" s="60"/>
      <c r="P49" s="60"/>
      <c r="Q49" s="60"/>
      <c r="R49" s="61"/>
      <c r="S49" s="60"/>
      <c r="T49" s="60"/>
      <c r="U49" s="148"/>
      <c r="V49" s="60"/>
      <c r="W49" s="62"/>
      <c r="Y49" s="134"/>
      <c r="AD49" s="148"/>
    </row>
    <row r="50" spans="1:37" s="63" customFormat="1" ht="15">
      <c r="A50" s="64"/>
      <c r="B50" s="29"/>
      <c r="D50" s="29"/>
      <c r="E50" s="29"/>
      <c r="G50" s="29"/>
      <c r="H50" s="29"/>
      <c r="I50" s="57"/>
      <c r="J50" s="29"/>
      <c r="K50" s="58"/>
      <c r="L50" s="29"/>
      <c r="M50" s="29"/>
      <c r="N50" s="59"/>
      <c r="O50" s="60"/>
      <c r="P50" s="60"/>
      <c r="Q50" s="60"/>
      <c r="R50" s="61"/>
      <c r="S50" s="60"/>
      <c r="T50" s="60"/>
      <c r="U50" s="148"/>
      <c r="V50" s="60"/>
      <c r="W50" s="62"/>
      <c r="X50" s="29"/>
      <c r="Y50" s="134"/>
      <c r="Z50" s="29"/>
      <c r="AA50" s="29"/>
      <c r="AD50" s="148"/>
      <c r="AE50" s="29"/>
      <c r="AF50" s="29"/>
      <c r="AG50" s="29"/>
      <c r="AH50" s="29"/>
      <c r="AI50" s="29"/>
      <c r="AJ50" s="29"/>
      <c r="AK50" s="29"/>
    </row>
    <row r="51" spans="1:37" s="29" customFormat="1" ht="15">
      <c r="A51" s="64"/>
      <c r="C51" s="63"/>
      <c r="F51" s="63"/>
      <c r="I51" s="57"/>
      <c r="J51" s="63"/>
      <c r="K51" s="144"/>
      <c r="L51" s="145"/>
      <c r="M51" s="146"/>
      <c r="N51" s="146"/>
      <c r="O51" s="147"/>
      <c r="P51" s="147"/>
      <c r="Q51" s="147"/>
      <c r="R51" s="147"/>
      <c r="S51" s="147"/>
      <c r="T51" s="144"/>
      <c r="U51" s="148"/>
      <c r="V51" s="149"/>
      <c r="W51" s="150"/>
      <c r="X51" s="151"/>
      <c r="Y51" s="152"/>
      <c r="Z51" s="151"/>
      <c r="AA51" s="149"/>
      <c r="AB51" s="150"/>
      <c r="AC51" s="144"/>
      <c r="AD51" s="148"/>
      <c r="AE51" s="147"/>
      <c r="AF51" s="147"/>
      <c r="AG51" s="147"/>
      <c r="AH51" s="147"/>
      <c r="AI51" s="147"/>
      <c r="AJ51" s="147"/>
      <c r="AK51" s="147"/>
    </row>
    <row r="52" spans="9:51" ht="15">
      <c r="I52" s="57"/>
      <c r="J52" s="29"/>
      <c r="K52" s="58"/>
      <c r="L52" s="29"/>
      <c r="M52" s="29"/>
      <c r="N52" s="59"/>
      <c r="O52" s="60"/>
      <c r="P52" s="60"/>
      <c r="Q52" s="60"/>
      <c r="R52" s="61"/>
      <c r="S52" s="60"/>
      <c r="T52" s="60"/>
      <c r="U52" s="148"/>
      <c r="V52" s="60"/>
      <c r="W52" s="62"/>
      <c r="X52" s="29"/>
      <c r="Y52" s="134"/>
      <c r="Z52" s="29"/>
      <c r="AA52" s="29"/>
      <c r="AB52" s="29"/>
      <c r="AC52" s="29"/>
      <c r="AD52" s="148"/>
      <c r="AE52" s="29"/>
      <c r="AF52" s="29"/>
      <c r="AG52" s="29"/>
      <c r="AH52" s="29"/>
      <c r="AI52" s="29"/>
      <c r="AJ52" s="29"/>
      <c r="AK52" s="29"/>
      <c r="AL52" s="29"/>
      <c r="AY52" s="7"/>
    </row>
    <row r="53" spans="9:51" ht="15.75" thickBot="1">
      <c r="I53" s="57"/>
      <c r="J53" s="63"/>
      <c r="K53" s="144"/>
      <c r="L53" s="145"/>
      <c r="M53" s="146"/>
      <c r="N53" s="146"/>
      <c r="O53" s="147"/>
      <c r="P53" s="147"/>
      <c r="Q53" s="147"/>
      <c r="R53" s="147"/>
      <c r="S53" s="147"/>
      <c r="T53" s="144"/>
      <c r="U53" s="148"/>
      <c r="V53" s="149"/>
      <c r="W53" s="150"/>
      <c r="X53" s="151"/>
      <c r="Y53" s="154"/>
      <c r="Z53" s="151"/>
      <c r="AA53" s="149"/>
      <c r="AB53" s="150"/>
      <c r="AC53" s="144"/>
      <c r="AD53" s="148"/>
      <c r="AE53" s="147"/>
      <c r="AF53" s="147"/>
      <c r="AG53" s="147"/>
      <c r="AH53" s="147"/>
      <c r="AI53" s="147"/>
      <c r="AJ53" s="147"/>
      <c r="AK53" s="147"/>
      <c r="AL53" s="29"/>
      <c r="AY53" s="7"/>
    </row>
    <row r="54" spans="9:51" ht="15">
      <c r="I54" s="57"/>
      <c r="J54" s="29"/>
      <c r="K54" s="58"/>
      <c r="L54" s="29"/>
      <c r="M54" s="29"/>
      <c r="N54" s="29"/>
      <c r="O54" s="60"/>
      <c r="P54" s="60"/>
      <c r="Q54" s="60"/>
      <c r="R54" s="61"/>
      <c r="S54" s="60"/>
      <c r="T54" s="60"/>
      <c r="U54" s="60"/>
      <c r="V54" s="60"/>
      <c r="W54" s="62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Y54" s="7"/>
    </row>
    <row r="55" spans="9:51" ht="15">
      <c r="I55" s="57"/>
      <c r="J55" s="29"/>
      <c r="K55" s="58"/>
      <c r="L55" s="29"/>
      <c r="M55" s="29"/>
      <c r="N55" s="29"/>
      <c r="O55" s="60"/>
      <c r="P55" s="60"/>
      <c r="Q55" s="60"/>
      <c r="R55" s="61"/>
      <c r="S55" s="60"/>
      <c r="T55" s="60"/>
      <c r="U55" s="60"/>
      <c r="V55" s="60"/>
      <c r="W55" s="62"/>
      <c r="X55" s="29"/>
      <c r="Y55" s="29"/>
      <c r="Z55" s="29"/>
      <c r="AA55" s="29"/>
      <c r="AB55" s="63"/>
      <c r="AC55" s="63"/>
      <c r="AD55" s="63"/>
      <c r="AE55" s="29"/>
      <c r="AF55" s="29"/>
      <c r="AG55" s="29"/>
      <c r="AH55" s="29"/>
      <c r="AI55" s="29"/>
      <c r="AJ55" s="29"/>
      <c r="AK55" s="29"/>
      <c r="AL55" s="29"/>
      <c r="AY55" s="7"/>
    </row>
    <row r="56" spans="9:51" ht="15">
      <c r="I56" s="57"/>
      <c r="J56" s="29"/>
      <c r="K56" s="58"/>
      <c r="L56" s="29"/>
      <c r="M56" s="29"/>
      <c r="N56" s="29"/>
      <c r="O56" s="60"/>
      <c r="P56" s="60"/>
      <c r="Q56" s="60"/>
      <c r="R56" s="61"/>
      <c r="S56" s="60"/>
      <c r="T56" s="60"/>
      <c r="U56" s="60"/>
      <c r="V56" s="60"/>
      <c r="W56" s="62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Y56" s="7"/>
    </row>
    <row r="57" spans="9:51" ht="15">
      <c r="I57" s="57"/>
      <c r="J57" s="29"/>
      <c r="K57" s="58"/>
      <c r="L57" s="29"/>
      <c r="M57" s="29"/>
      <c r="N57" s="29"/>
      <c r="O57" s="60"/>
      <c r="P57" s="60"/>
      <c r="Q57" s="60"/>
      <c r="R57" s="61"/>
      <c r="S57" s="60"/>
      <c r="T57" s="60"/>
      <c r="U57" s="60"/>
      <c r="V57" s="60"/>
      <c r="W57" s="62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Y57" s="7"/>
    </row>
    <row r="58" spans="9:51" ht="15">
      <c r="I58" s="57"/>
      <c r="J58" s="29"/>
      <c r="K58" s="58"/>
      <c r="L58" s="29"/>
      <c r="M58" s="29"/>
      <c r="N58" s="29"/>
      <c r="O58" s="60"/>
      <c r="P58" s="60"/>
      <c r="Q58" s="60"/>
      <c r="R58" s="61"/>
      <c r="S58" s="60"/>
      <c r="T58" s="60"/>
      <c r="U58" s="60"/>
      <c r="V58" s="60"/>
      <c r="W58" s="62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Y58" s="7"/>
    </row>
    <row r="59" spans="2:38" s="9" customFormat="1" ht="15">
      <c r="B59" s="65"/>
      <c r="C59" s="65"/>
      <c r="I59" s="157"/>
      <c r="J59" s="63"/>
      <c r="K59" s="58"/>
      <c r="L59" s="63"/>
      <c r="M59" s="63"/>
      <c r="N59" s="63"/>
      <c r="O59" s="60"/>
      <c r="P59" s="60"/>
      <c r="Q59" s="60"/>
      <c r="R59" s="61"/>
      <c r="S59" s="60"/>
      <c r="T59" s="60"/>
      <c r="U59" s="60"/>
      <c r="V59" s="60"/>
      <c r="W59" s="62"/>
      <c r="X59" s="63"/>
      <c r="Y59" s="63"/>
      <c r="Z59" s="63"/>
      <c r="AA59" s="63"/>
      <c r="AB59" s="29"/>
      <c r="AC59" s="29"/>
      <c r="AD59" s="29"/>
      <c r="AE59" s="63"/>
      <c r="AF59" s="63"/>
      <c r="AG59" s="63"/>
      <c r="AH59" s="63"/>
      <c r="AI59" s="63"/>
      <c r="AJ59" s="63"/>
      <c r="AK59" s="63"/>
      <c r="AL59" s="63"/>
    </row>
    <row r="60" spans="9:51" ht="15">
      <c r="I60" s="57"/>
      <c r="J60" s="29"/>
      <c r="K60" s="58"/>
      <c r="L60" s="29"/>
      <c r="M60" s="29"/>
      <c r="N60" s="29"/>
      <c r="O60" s="60"/>
      <c r="P60" s="60"/>
      <c r="Q60" s="60"/>
      <c r="R60" s="61"/>
      <c r="S60" s="60"/>
      <c r="T60" s="60"/>
      <c r="U60" s="60"/>
      <c r="V60" s="60"/>
      <c r="W60" s="62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Y60" s="7"/>
    </row>
    <row r="61" spans="9:51" ht="15">
      <c r="I61" s="57"/>
      <c r="J61" s="29"/>
      <c r="K61" s="29"/>
      <c r="L61" s="29"/>
      <c r="M61" s="29"/>
      <c r="N61" s="29"/>
      <c r="O61" s="29"/>
      <c r="P61" s="29"/>
      <c r="Q61" s="29"/>
      <c r="R61" s="158"/>
      <c r="S61" s="29"/>
      <c r="T61" s="29"/>
      <c r="U61" s="29"/>
      <c r="V61" s="29"/>
      <c r="W61" s="15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Y61" s="7"/>
    </row>
    <row r="62" spans="9:51" ht="15">
      <c r="I62" s="57"/>
      <c r="J62" s="29"/>
      <c r="K62" s="29"/>
      <c r="L62" s="29"/>
      <c r="M62" s="29"/>
      <c r="N62" s="29"/>
      <c r="O62" s="29"/>
      <c r="P62" s="29"/>
      <c r="Q62" s="29"/>
      <c r="R62" s="158"/>
      <c r="S62" s="29"/>
      <c r="T62" s="29"/>
      <c r="U62" s="29"/>
      <c r="V62" s="29"/>
      <c r="W62" s="15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Y62" s="7"/>
    </row>
    <row r="63" spans="9:51" ht="15">
      <c r="I63" s="57"/>
      <c r="J63" s="29"/>
      <c r="K63" s="29"/>
      <c r="L63" s="29"/>
      <c r="M63" s="29"/>
      <c r="N63" s="29"/>
      <c r="O63" s="29"/>
      <c r="P63" s="29"/>
      <c r="Q63" s="29"/>
      <c r="R63" s="158"/>
      <c r="S63" s="29"/>
      <c r="T63" s="29"/>
      <c r="U63" s="29"/>
      <c r="V63" s="29"/>
      <c r="W63" s="15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Y63" s="7"/>
    </row>
    <row r="64" spans="9:51" ht="15">
      <c r="I64" s="57"/>
      <c r="J64" s="29"/>
      <c r="K64" s="29"/>
      <c r="L64" s="29"/>
      <c r="M64" s="29"/>
      <c r="N64" s="29"/>
      <c r="O64" s="29"/>
      <c r="P64" s="29"/>
      <c r="Q64" s="29"/>
      <c r="R64" s="158"/>
      <c r="S64" s="29"/>
      <c r="T64" s="29"/>
      <c r="U64" s="29"/>
      <c r="V64" s="29"/>
      <c r="W64" s="15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Y64" s="7"/>
    </row>
    <row r="65" spans="9:51" ht="15">
      <c r="I65" s="57"/>
      <c r="J65" s="29"/>
      <c r="K65" s="29"/>
      <c r="L65" s="29"/>
      <c r="M65" s="29"/>
      <c r="N65" s="29"/>
      <c r="O65" s="29"/>
      <c r="P65" s="29"/>
      <c r="Q65" s="29"/>
      <c r="R65" s="158"/>
      <c r="S65" s="29"/>
      <c r="T65" s="29"/>
      <c r="U65" s="29"/>
      <c r="V65" s="29"/>
      <c r="W65" s="15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Y65" s="7"/>
    </row>
    <row r="66" spans="9:51" ht="15">
      <c r="I66" s="57"/>
      <c r="J66" s="29"/>
      <c r="K66" s="29"/>
      <c r="L66" s="29"/>
      <c r="M66" s="29"/>
      <c r="N66" s="29"/>
      <c r="O66" s="29"/>
      <c r="P66" s="29"/>
      <c r="Q66" s="29"/>
      <c r="R66" s="158"/>
      <c r="S66" s="29"/>
      <c r="T66" s="29"/>
      <c r="U66" s="29"/>
      <c r="V66" s="29"/>
      <c r="W66" s="15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Y66" s="7"/>
    </row>
    <row r="67" spans="13:51" ht="15">
      <c r="M67" s="7"/>
      <c r="N67" s="7"/>
      <c r="AE67" s="7"/>
      <c r="AF67" s="7"/>
      <c r="AG67" s="7"/>
      <c r="AH67" s="7"/>
      <c r="AY67" s="7"/>
    </row>
    <row r="68" spans="13:51" ht="15">
      <c r="M68" s="7"/>
      <c r="N68" s="7"/>
      <c r="AE68" s="7"/>
      <c r="AF68" s="7"/>
      <c r="AG68" s="7"/>
      <c r="AH68" s="7"/>
      <c r="AY68" s="7"/>
    </row>
    <row r="69" spans="13:51" ht="15">
      <c r="M69" s="7"/>
      <c r="N69" s="7"/>
      <c r="AE69" s="7"/>
      <c r="AF69" s="7"/>
      <c r="AG69" s="7"/>
      <c r="AH69" s="7"/>
      <c r="AY69" s="7"/>
    </row>
    <row r="70" spans="13:51" ht="15">
      <c r="M70" s="7"/>
      <c r="N70" s="7"/>
      <c r="AE70" s="7"/>
      <c r="AF70" s="7"/>
      <c r="AG70" s="7"/>
      <c r="AH70" s="7"/>
      <c r="AY70" s="7"/>
    </row>
    <row r="71" spans="13:51" ht="15">
      <c r="M71" s="7"/>
      <c r="N71" s="7"/>
      <c r="AE71" s="7"/>
      <c r="AF71" s="7"/>
      <c r="AG71" s="7"/>
      <c r="AH71" s="7"/>
      <c r="AY71" s="7"/>
    </row>
    <row r="72" spans="13:51" ht="15">
      <c r="M72" s="7"/>
      <c r="N72" s="7"/>
      <c r="AE72" s="7"/>
      <c r="AF72" s="7"/>
      <c r="AG72" s="7"/>
      <c r="AH72" s="7"/>
      <c r="AY72" s="7"/>
    </row>
    <row r="73" spans="13:51" ht="15">
      <c r="M73" s="7"/>
      <c r="N73" s="7"/>
      <c r="AE73" s="7"/>
      <c r="AF73" s="7"/>
      <c r="AG73" s="7"/>
      <c r="AH73" s="7"/>
      <c r="AY73" s="7"/>
    </row>
    <row r="74" spans="13:51" ht="15">
      <c r="M74" s="7"/>
      <c r="N74" s="7"/>
      <c r="AE74" s="7"/>
      <c r="AF74" s="7"/>
      <c r="AG74" s="7"/>
      <c r="AH74" s="7"/>
      <c r="AY74" s="7"/>
    </row>
    <row r="75" spans="13:51" ht="15">
      <c r="M75" s="7"/>
      <c r="N75" s="7"/>
      <c r="AE75" s="7"/>
      <c r="AF75" s="7"/>
      <c r="AG75" s="7"/>
      <c r="AH75" s="7"/>
      <c r="AY75" s="7"/>
    </row>
    <row r="76" spans="13:51" ht="15">
      <c r="M76" s="7"/>
      <c r="N76" s="7"/>
      <c r="AE76" s="7"/>
      <c r="AF76" s="7"/>
      <c r="AG76" s="7"/>
      <c r="AH76" s="7"/>
      <c r="AY76" s="7"/>
    </row>
    <row r="77" spans="13:51" ht="15">
      <c r="M77" s="7"/>
      <c r="N77" s="7"/>
      <c r="AE77" s="7"/>
      <c r="AF77" s="7"/>
      <c r="AG77" s="7"/>
      <c r="AH77" s="7"/>
      <c r="AY77" s="7"/>
    </row>
    <row r="78" spans="13:51" ht="15">
      <c r="M78" s="7"/>
      <c r="N78" s="7"/>
      <c r="AE78" s="7"/>
      <c r="AF78" s="7"/>
      <c r="AG78" s="7"/>
      <c r="AH78" s="7"/>
      <c r="AY78" s="7"/>
    </row>
    <row r="79" spans="13:51" ht="15">
      <c r="M79" s="7"/>
      <c r="N79" s="7"/>
      <c r="AE79" s="7"/>
      <c r="AF79" s="7"/>
      <c r="AG79" s="7"/>
      <c r="AH79" s="7"/>
      <c r="AY79" s="7"/>
    </row>
  </sheetData>
  <mergeCells count="16">
    <mergeCell ref="A1:I1"/>
    <mergeCell ref="A2:I2"/>
    <mergeCell ref="A3:I3"/>
    <mergeCell ref="H6:I6"/>
    <mergeCell ref="H8:I8"/>
    <mergeCell ref="AT10:AW10"/>
    <mergeCell ref="V8:AC8"/>
    <mergeCell ref="AE8:AH8"/>
    <mergeCell ref="AJ8:AJ9"/>
    <mergeCell ref="A9:N9"/>
    <mergeCell ref="O9:S9"/>
    <mergeCell ref="V9:W9"/>
    <mergeCell ref="AA9:AC9"/>
    <mergeCell ref="AE9:AG9"/>
    <mergeCell ref="AH9:AI9"/>
    <mergeCell ref="O8:T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79"/>
  <sheetViews>
    <sheetView workbookViewId="0" topLeftCell="A1">
      <selection activeCell="A9" sqref="A9:N9"/>
    </sheetView>
  </sheetViews>
  <sheetFormatPr defaultColWidth="9.140625" defaultRowHeight="15"/>
  <cols>
    <col min="1" max="1" width="13.140625" style="7" customWidth="1"/>
    <col min="2" max="2" width="9.28125" style="49" customWidth="1"/>
    <col min="3" max="3" width="11.28125" style="49" customWidth="1"/>
    <col min="4" max="4" width="34.7109375" style="7" customWidth="1"/>
    <col min="5" max="5" width="17.00390625" style="7" bestFit="1" customWidth="1"/>
    <col min="6" max="7" width="9.140625" style="7" customWidth="1"/>
    <col min="8" max="8" width="34.28125" style="7" bestFit="1" customWidth="1"/>
    <col min="9" max="9" width="9.140625" style="49" customWidth="1"/>
    <col min="10" max="10" width="11.28125" style="7" customWidth="1"/>
    <col min="11" max="11" width="12.57421875" style="7" bestFit="1" customWidth="1"/>
    <col min="12" max="12" width="12.57421875" style="7" customWidth="1"/>
    <col min="13" max="13" width="10.28125" style="6" customWidth="1"/>
    <col min="14" max="14" width="11.57421875" style="6" bestFit="1" customWidth="1"/>
    <col min="15" max="16" width="11.57421875" style="7" bestFit="1" customWidth="1"/>
    <col min="17" max="17" width="15.00390625" style="7" customWidth="1"/>
    <col min="18" max="18" width="12.421875" style="36" bestFit="1" customWidth="1"/>
    <col min="19" max="19" width="14.8515625" style="7" bestFit="1" customWidth="1"/>
    <col min="20" max="20" width="15.00390625" style="7" customWidth="1"/>
    <col min="21" max="21" width="4.421875" style="7" customWidth="1"/>
    <col min="22" max="22" width="11.57421875" style="7" bestFit="1" customWidth="1"/>
    <col min="23" max="23" width="11.28125" style="50" bestFit="1" customWidth="1"/>
    <col min="24" max="24" width="15.00390625" style="7" bestFit="1" customWidth="1"/>
    <col min="25" max="26" width="11.57421875" style="7" bestFit="1" customWidth="1"/>
    <col min="27" max="27" width="10.57421875" style="7" bestFit="1" customWidth="1"/>
    <col min="28" max="28" width="8.8515625" style="7" bestFit="1" customWidth="1"/>
    <col min="29" max="29" width="11.57421875" style="7" bestFit="1" customWidth="1"/>
    <col min="30" max="30" width="4.421875" style="7" customWidth="1"/>
    <col min="31" max="31" width="11.57421875" style="66" bestFit="1" customWidth="1"/>
    <col min="32" max="32" width="11.57421875" style="36" bestFit="1" customWidth="1"/>
    <col min="33" max="33" width="11.57421875" style="66" bestFit="1" customWidth="1"/>
    <col min="34" max="34" width="11.8515625" style="66" customWidth="1"/>
    <col min="35" max="35" width="15.28125" style="7" bestFit="1" customWidth="1"/>
    <col min="36" max="36" width="11.8515625" style="7" customWidth="1"/>
    <col min="37" max="37" width="16.57421875" style="7" bestFit="1" customWidth="1"/>
    <col min="38" max="46" width="11.8515625" style="7" customWidth="1"/>
    <col min="47" max="50" width="9.140625" style="7" customWidth="1"/>
    <col min="51" max="51" width="9.140625" style="37" customWidth="1"/>
    <col min="52" max="16384" width="9.140625" style="7" customWidth="1"/>
  </cols>
  <sheetData>
    <row r="1" spans="1:50" ht="15.75">
      <c r="A1" s="217" t="s">
        <v>52</v>
      </c>
      <c r="B1" s="217"/>
      <c r="C1" s="217"/>
      <c r="D1" s="217"/>
      <c r="E1" s="217"/>
      <c r="F1" s="217"/>
      <c r="G1" s="217"/>
      <c r="H1" s="217"/>
      <c r="I1" s="217"/>
      <c r="Z1" s="1"/>
      <c r="AA1" s="1"/>
      <c r="AE1" s="3"/>
      <c r="AF1" s="2"/>
      <c r="AG1" s="3"/>
      <c r="AH1" s="3"/>
      <c r="AJ1" s="1"/>
      <c r="AK1" s="1"/>
      <c r="AL1" s="1"/>
      <c r="AM1" s="1"/>
      <c r="AN1" s="1"/>
      <c r="AO1" s="1"/>
      <c r="AP1" s="1"/>
      <c r="AQ1" s="1"/>
      <c r="AR1" s="4"/>
      <c r="AS1" s="4"/>
      <c r="AT1" s="4"/>
      <c r="AV1" s="36"/>
      <c r="AW1" s="36"/>
      <c r="AX1" s="36"/>
    </row>
    <row r="2" spans="1:50" ht="15.75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Z2" s="1"/>
      <c r="AA2" s="1"/>
      <c r="AE2" s="3"/>
      <c r="AF2" s="2"/>
      <c r="AG2" s="3"/>
      <c r="AH2" s="3"/>
      <c r="AJ2" s="1"/>
      <c r="AK2" s="1"/>
      <c r="AL2" s="1"/>
      <c r="AM2" s="1"/>
      <c r="AN2" s="1"/>
      <c r="AO2" s="1"/>
      <c r="AP2" s="1"/>
      <c r="AQ2" s="1"/>
      <c r="AR2" s="4"/>
      <c r="AS2" s="4"/>
      <c r="AT2" s="4"/>
      <c r="AV2" s="36"/>
      <c r="AW2" s="36"/>
      <c r="AX2" s="36"/>
    </row>
    <row r="3" spans="1:50" ht="18.75">
      <c r="A3" s="225"/>
      <c r="B3" s="225"/>
      <c r="C3" s="225"/>
      <c r="D3" s="225"/>
      <c r="E3" s="225"/>
      <c r="F3" s="225"/>
      <c r="G3" s="225"/>
      <c r="H3" s="225"/>
      <c r="I3" s="225"/>
      <c r="Z3" s="1"/>
      <c r="AA3" s="1"/>
      <c r="AE3" s="3"/>
      <c r="AF3" s="2"/>
      <c r="AG3" s="3"/>
      <c r="AH3" s="3"/>
      <c r="AJ3" s="1"/>
      <c r="AK3" s="1"/>
      <c r="AL3" s="1"/>
      <c r="AM3" s="1"/>
      <c r="AN3" s="1"/>
      <c r="AO3" s="1"/>
      <c r="AP3" s="1"/>
      <c r="AQ3" s="1"/>
      <c r="AR3" s="40"/>
      <c r="AS3" s="40"/>
      <c r="AT3" s="40"/>
      <c r="AV3" s="36"/>
      <c r="AW3" s="36"/>
      <c r="AX3" s="36"/>
    </row>
    <row r="4" spans="1:50" ht="15.75">
      <c r="A4" s="181"/>
      <c r="B4" s="181"/>
      <c r="C4" s="181"/>
      <c r="D4" s="181"/>
      <c r="E4" s="181"/>
      <c r="F4" s="181"/>
      <c r="G4" s="181"/>
      <c r="H4" s="181"/>
      <c r="I4" s="181"/>
      <c r="Z4" s="1"/>
      <c r="AA4" s="1"/>
      <c r="AE4" s="3"/>
      <c r="AF4" s="2"/>
      <c r="AG4" s="3"/>
      <c r="AH4" s="3"/>
      <c r="AJ4" s="1"/>
      <c r="AK4" s="1"/>
      <c r="AL4" s="1"/>
      <c r="AM4" s="1"/>
      <c r="AN4" s="1"/>
      <c r="AO4" s="1"/>
      <c r="AP4" s="1"/>
      <c r="AQ4" s="1"/>
      <c r="AR4" s="40"/>
      <c r="AS4" s="40"/>
      <c r="AT4" s="40"/>
      <c r="AV4" s="36"/>
      <c r="AW4" s="36"/>
      <c r="AX4" s="36"/>
    </row>
    <row r="5" spans="1:50" ht="15.75">
      <c r="A5" s="30"/>
      <c r="B5" s="46"/>
      <c r="C5" s="46"/>
      <c r="D5" s="1"/>
      <c r="E5" s="1"/>
      <c r="F5" s="1"/>
      <c r="G5" s="1"/>
      <c r="H5" s="1"/>
      <c r="I5" s="46"/>
      <c r="J5" s="1"/>
      <c r="K5" s="4"/>
      <c r="L5" s="4"/>
      <c r="M5" s="10"/>
      <c r="N5" s="10"/>
      <c r="O5" s="4"/>
      <c r="P5" s="1"/>
      <c r="Q5" s="1"/>
      <c r="R5" s="2"/>
      <c r="S5" s="1"/>
      <c r="T5" s="1"/>
      <c r="U5" s="1"/>
      <c r="V5" s="1"/>
      <c r="W5" s="33"/>
      <c r="X5" s="1"/>
      <c r="Y5" s="1"/>
      <c r="Z5" s="1"/>
      <c r="AE5" s="7"/>
      <c r="AF5" s="7"/>
      <c r="AG5" s="7"/>
      <c r="AH5" s="7"/>
      <c r="AV5" s="36"/>
      <c r="AW5" s="36"/>
      <c r="AX5" s="36"/>
    </row>
    <row r="6" spans="8:51" ht="15.75" customHeight="1">
      <c r="H6" s="245"/>
      <c r="I6" s="245"/>
      <c r="J6" s="192"/>
      <c r="K6" s="4"/>
      <c r="L6" s="10"/>
      <c r="M6" s="10"/>
      <c r="N6" s="4"/>
      <c r="O6" s="1"/>
      <c r="P6" s="1"/>
      <c r="Q6" s="2"/>
      <c r="R6" s="1"/>
      <c r="S6" s="1"/>
      <c r="T6" s="1"/>
      <c r="U6" s="1"/>
      <c r="V6" s="33"/>
      <c r="W6" s="1"/>
      <c r="X6" s="1"/>
      <c r="Y6" s="1"/>
      <c r="AA6"/>
      <c r="AB6"/>
      <c r="AC6"/>
      <c r="AE6" s="7"/>
      <c r="AF6" s="7"/>
      <c r="AG6" s="7"/>
      <c r="AH6" s="7"/>
      <c r="AU6" s="36"/>
      <c r="AV6" s="36"/>
      <c r="AW6" s="36"/>
      <c r="AX6" s="37"/>
      <c r="AY6" s="7"/>
    </row>
    <row r="7" spans="10:50" ht="16.5" thickBot="1">
      <c r="J7" s="1"/>
      <c r="K7"/>
      <c r="L7" s="4"/>
      <c r="M7" s="10"/>
      <c r="N7" s="10"/>
      <c r="O7" s="4"/>
      <c r="P7" s="1"/>
      <c r="Q7" s="1"/>
      <c r="R7" s="2"/>
      <c r="S7" s="1"/>
      <c r="T7" s="1"/>
      <c r="U7" s="1"/>
      <c r="V7" s="1"/>
      <c r="W7" s="33"/>
      <c r="X7" s="1"/>
      <c r="Y7" s="1"/>
      <c r="Z7" s="1"/>
      <c r="AB7"/>
      <c r="AC7"/>
      <c r="AD7"/>
      <c r="AE7" s="7"/>
      <c r="AF7" s="7"/>
      <c r="AG7" s="7"/>
      <c r="AH7" s="7"/>
      <c r="AV7" s="36"/>
      <c r="AW7" s="36"/>
      <c r="AX7" s="36"/>
    </row>
    <row r="8" spans="8:50" ht="15" customHeight="1" thickBot="1">
      <c r="H8" s="235" t="s">
        <v>79</v>
      </c>
      <c r="I8" s="236"/>
      <c r="J8" s="85">
        <v>50</v>
      </c>
      <c r="K8"/>
      <c r="O8" s="231"/>
      <c r="P8" s="231"/>
      <c r="Q8" s="231"/>
      <c r="R8" s="231"/>
      <c r="S8" s="231"/>
      <c r="T8" s="231"/>
      <c r="U8"/>
      <c r="V8" s="230"/>
      <c r="W8" s="230"/>
      <c r="X8" s="230"/>
      <c r="Y8" s="230"/>
      <c r="Z8" s="230"/>
      <c r="AA8" s="230"/>
      <c r="AB8" s="230"/>
      <c r="AC8" s="230"/>
      <c r="AD8"/>
      <c r="AE8" s="241" t="s">
        <v>2</v>
      </c>
      <c r="AF8" s="241"/>
      <c r="AG8" s="241"/>
      <c r="AH8" s="241"/>
      <c r="AI8" s="13" t="s">
        <v>3</v>
      </c>
      <c r="AJ8" s="220"/>
      <c r="AK8" s="14" t="s">
        <v>4</v>
      </c>
      <c r="AV8" s="36"/>
      <c r="AW8" s="36"/>
      <c r="AX8" s="36"/>
    </row>
    <row r="9" spans="1:51" s="68" customFormat="1" ht="33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232" t="s">
        <v>5</v>
      </c>
      <c r="P9" s="233"/>
      <c r="Q9" s="233"/>
      <c r="R9" s="233"/>
      <c r="S9" s="234"/>
      <c r="T9" s="69"/>
      <c r="U9" s="110"/>
      <c r="V9" s="226"/>
      <c r="W9" s="227"/>
      <c r="X9" s="126">
        <v>0.2</v>
      </c>
      <c r="Y9" s="130">
        <v>0.5</v>
      </c>
      <c r="Z9" s="128">
        <v>0.3</v>
      </c>
      <c r="AA9" s="222"/>
      <c r="AB9" s="223"/>
      <c r="AC9" s="223"/>
      <c r="AD9" s="110"/>
      <c r="AE9" s="242" t="s">
        <v>6</v>
      </c>
      <c r="AF9" s="243"/>
      <c r="AG9" s="244"/>
      <c r="AH9" s="242" t="s">
        <v>7</v>
      </c>
      <c r="AI9" s="244"/>
      <c r="AJ9" s="221"/>
      <c r="AK9" s="70" t="s">
        <v>8</v>
      </c>
      <c r="AV9" s="71"/>
      <c r="AW9" s="71"/>
      <c r="AX9" s="71"/>
      <c r="AY9" s="72"/>
    </row>
    <row r="10" spans="1:49" s="6" customFormat="1" ht="50.1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191</v>
      </c>
      <c r="F10" s="16" t="s">
        <v>13</v>
      </c>
      <c r="G10" s="74" t="s">
        <v>14</v>
      </c>
      <c r="H10" s="74" t="s">
        <v>15</v>
      </c>
      <c r="I10" s="89" t="s">
        <v>16</v>
      </c>
      <c r="J10" s="16" t="s">
        <v>1</v>
      </c>
      <c r="K10" s="74" t="s">
        <v>67</v>
      </c>
      <c r="L10" s="74" t="s">
        <v>184</v>
      </c>
      <c r="M10" s="51" t="s">
        <v>69</v>
      </c>
      <c r="N10" s="51" t="s">
        <v>190</v>
      </c>
      <c r="O10" s="73" t="s">
        <v>18</v>
      </c>
      <c r="P10" s="73" t="s">
        <v>19</v>
      </c>
      <c r="Q10" s="73" t="s">
        <v>20</v>
      </c>
      <c r="R10" s="18" t="s">
        <v>21</v>
      </c>
      <c r="S10" s="18" t="s">
        <v>22</v>
      </c>
      <c r="T10" s="19" t="s">
        <v>23</v>
      </c>
      <c r="U10" s="110"/>
      <c r="V10" s="20" t="s">
        <v>24</v>
      </c>
      <c r="W10" s="21" t="s">
        <v>25</v>
      </c>
      <c r="X10" s="127" t="s">
        <v>26</v>
      </c>
      <c r="Y10" s="131" t="s">
        <v>27</v>
      </c>
      <c r="Z10" s="129" t="s">
        <v>4</v>
      </c>
      <c r="AA10" s="20" t="s">
        <v>28</v>
      </c>
      <c r="AB10" s="22" t="s">
        <v>29</v>
      </c>
      <c r="AC10" s="23" t="s">
        <v>30</v>
      </c>
      <c r="AD10" s="110"/>
      <c r="AE10" s="17" t="s">
        <v>18</v>
      </c>
      <c r="AF10" s="17" t="s">
        <v>19</v>
      </c>
      <c r="AG10" s="17" t="s">
        <v>20</v>
      </c>
      <c r="AH10" s="17" t="s">
        <v>21</v>
      </c>
      <c r="AI10" s="17" t="s">
        <v>31</v>
      </c>
      <c r="AJ10" s="17" t="s">
        <v>22</v>
      </c>
      <c r="AK10" s="17" t="s">
        <v>32</v>
      </c>
      <c r="AT10" s="240"/>
      <c r="AU10" s="240"/>
      <c r="AV10" s="240"/>
      <c r="AW10" s="240"/>
    </row>
    <row r="11" spans="1:49" s="9" customFormat="1" ht="15" customHeight="1">
      <c r="A11" s="52"/>
      <c r="B11" s="67"/>
      <c r="C11" s="53"/>
      <c r="D11" s="52"/>
      <c r="E11" s="52"/>
      <c r="F11" s="52"/>
      <c r="G11" s="87"/>
      <c r="H11" s="191"/>
      <c r="I11" s="88"/>
      <c r="J11" s="52">
        <f>SUM(J12:J17)</f>
        <v>300</v>
      </c>
      <c r="K11" s="94">
        <f>SUM(K12:K17)</f>
        <v>221508</v>
      </c>
      <c r="L11" s="55"/>
      <c r="M11" s="54"/>
      <c r="N11" s="54"/>
      <c r="O11" s="93">
        <f aca="true" t="shared" si="0" ref="O11:T11">SUM(O12:O17)</f>
        <v>31750</v>
      </c>
      <c r="P11" s="93">
        <f t="shared" si="0"/>
        <v>9836.150000000001</v>
      </c>
      <c r="Q11" s="93">
        <f t="shared" si="0"/>
        <v>41586.15</v>
      </c>
      <c r="R11" s="93">
        <f t="shared" si="0"/>
        <v>0</v>
      </c>
      <c r="S11" s="93">
        <f t="shared" si="0"/>
        <v>41586.15</v>
      </c>
      <c r="T11" s="94">
        <f t="shared" si="0"/>
        <v>179921.85</v>
      </c>
      <c r="U11"/>
      <c r="V11" s="24">
        <f>SUM(V12:V17)</f>
        <v>300</v>
      </c>
      <c r="W11" s="25">
        <f aca="true" t="shared" si="1" ref="W11:W28">V11/J11</f>
        <v>1</v>
      </c>
      <c r="X11" s="97">
        <f>SUM(X12:X17)</f>
        <v>35984.37</v>
      </c>
      <c r="Y11" s="132">
        <f>SUM(Y12:Y17)</f>
        <v>89960.925</v>
      </c>
      <c r="Z11" s="97">
        <f>SUM(Z12:Z17)</f>
        <v>53976.555</v>
      </c>
      <c r="AA11" s="24">
        <f>SUM(AA12:AA17)</f>
        <v>0</v>
      </c>
      <c r="AB11" s="25">
        <f aca="true" t="shared" si="2" ref="AB11:AB28">AA11/J11</f>
        <v>0</v>
      </c>
      <c r="AC11" s="94">
        <f>SUM(AC12:AC17)</f>
        <v>0</v>
      </c>
      <c r="AD11"/>
      <c r="AE11" s="93">
        <f>SUM(AE12:AE17)</f>
        <v>31750</v>
      </c>
      <c r="AF11" s="93">
        <f>SUM(AF12:AF17)</f>
        <v>9836.150000000001</v>
      </c>
      <c r="AG11" s="93">
        <f>SUM(AG12:AG17)</f>
        <v>41586.15</v>
      </c>
      <c r="AH11" s="93">
        <f aca="true" t="shared" si="3" ref="AH11:AI11">SUM(AH12:AH17)</f>
        <v>0</v>
      </c>
      <c r="AI11" s="93">
        <f t="shared" si="3"/>
        <v>0</v>
      </c>
      <c r="AJ11" s="93">
        <f>SUM(AJ12:AJ17)</f>
        <v>41586.15</v>
      </c>
      <c r="AK11" s="93">
        <f>SUM(AK12:AK17)</f>
        <v>0</v>
      </c>
      <c r="AL11" s="7"/>
      <c r="AM11" s="7"/>
      <c r="AN11" s="7"/>
      <c r="AO11" s="7"/>
      <c r="AP11" s="7"/>
      <c r="AQ11" s="7"/>
      <c r="AR11" s="7"/>
      <c r="AW11" s="11"/>
    </row>
    <row r="12" spans="1:37" s="29" customFormat="1" ht="15">
      <c r="A12" s="26" t="s">
        <v>165</v>
      </c>
      <c r="B12" s="182">
        <v>2003</v>
      </c>
      <c r="C12" s="7" t="s">
        <v>34</v>
      </c>
      <c r="D12" s="187" t="s">
        <v>166</v>
      </c>
      <c r="E12" s="187" t="s">
        <v>111</v>
      </c>
      <c r="F12" s="7" t="s">
        <v>0</v>
      </c>
      <c r="G12" t="s">
        <v>36</v>
      </c>
      <c r="H12" t="s">
        <v>189</v>
      </c>
      <c r="I12" s="5">
        <v>3</v>
      </c>
      <c r="J12" s="29">
        <f aca="true" t="shared" si="4" ref="J12:J20">$J$8</f>
        <v>50</v>
      </c>
      <c r="K12" s="100">
        <f>Table!$H$7*I12*J12</f>
        <v>36918</v>
      </c>
      <c r="L12" t="s">
        <v>48</v>
      </c>
      <c r="M12" s="29">
        <v>1</v>
      </c>
      <c r="N12" s="101">
        <v>5000</v>
      </c>
      <c r="O12" s="95">
        <f>N12</f>
        <v>5000</v>
      </c>
      <c r="P12" s="95">
        <f>O12*Table!$H$1</f>
        <v>1549</v>
      </c>
      <c r="Q12" s="95">
        <f aca="true" t="shared" si="5" ref="Q12:Q28">O12+P12</f>
        <v>6549</v>
      </c>
      <c r="R12" s="95"/>
      <c r="S12" s="95">
        <f aca="true" t="shared" si="6" ref="S12:S28">Q12+R12</f>
        <v>6549</v>
      </c>
      <c r="T12" s="96">
        <f aca="true" t="shared" si="7" ref="T12:T28">K12-S12</f>
        <v>30369</v>
      </c>
      <c r="U12"/>
      <c r="V12" s="15">
        <f>J12</f>
        <v>50</v>
      </c>
      <c r="W12" s="27">
        <f t="shared" si="1"/>
        <v>1</v>
      </c>
      <c r="X12" s="98">
        <f aca="true" t="shared" si="8" ref="X12:X17">(W12*T12)*$X$9</f>
        <v>6073.8</v>
      </c>
      <c r="Y12" s="133">
        <f aca="true" t="shared" si="9" ref="Y12:Y17">(W12*T12)*$Y$9</f>
        <v>15184.5</v>
      </c>
      <c r="Z12" s="98">
        <f aca="true" t="shared" si="10" ref="Z12:Z17">(W12*T12)*$Z$9</f>
        <v>9110.699999999999</v>
      </c>
      <c r="AA12" s="12">
        <f aca="true" t="shared" si="11" ref="AA12:AA28">J12-V12</f>
        <v>0</v>
      </c>
      <c r="AB12" s="27">
        <f t="shared" si="2"/>
        <v>0</v>
      </c>
      <c r="AC12" s="96">
        <f aca="true" t="shared" si="12" ref="AC12">T12*AB12</f>
        <v>0</v>
      </c>
      <c r="AD12"/>
      <c r="AE12" s="99">
        <f aca="true" t="shared" si="13" ref="AE12:AE28">IF(L12="TTIN","0.00",(IF(L12="CIN","0.00",(IF(L12="IN","0.00",O12)))))</f>
        <v>5000</v>
      </c>
      <c r="AF12" s="99">
        <f aca="true" t="shared" si="14" ref="AF12:AF28">IF(L12="TTIN","0.00",(IF(L12="CIN","0.00",(IF(L12="IN","0.00",P12)))))</f>
        <v>1549</v>
      </c>
      <c r="AG12" s="99">
        <f aca="true" t="shared" si="15" ref="AG12:AG28">IF(L12="TTIN","0.00",(IF(L12="CIN","0.00",(IF(L12="IN","0.00",Q12)))))</f>
        <v>6549</v>
      </c>
      <c r="AH12" s="95"/>
      <c r="AI12" s="95"/>
      <c r="AJ12" s="95">
        <f aca="true" t="shared" si="16" ref="AJ12:AJ28">AG12+AH12+AI12</f>
        <v>6549</v>
      </c>
      <c r="AK12" s="95">
        <f aca="true" t="shared" si="17" ref="AK12">S12-AJ12</f>
        <v>0</v>
      </c>
    </row>
    <row r="13" spans="1:37" s="29" customFormat="1" ht="15">
      <c r="A13" s="26" t="s">
        <v>167</v>
      </c>
      <c r="B13" s="182">
        <v>2013</v>
      </c>
      <c r="C13" s="7" t="s">
        <v>34</v>
      </c>
      <c r="D13" s="187" t="s">
        <v>168</v>
      </c>
      <c r="E13" s="187" t="s">
        <v>111</v>
      </c>
      <c r="F13" s="7" t="s">
        <v>0</v>
      </c>
      <c r="G13" t="s">
        <v>36</v>
      </c>
      <c r="H13" t="s">
        <v>189</v>
      </c>
      <c r="I13" s="5">
        <v>3</v>
      </c>
      <c r="J13" s="29">
        <f t="shared" si="4"/>
        <v>50</v>
      </c>
      <c r="K13" s="100">
        <f>Table!$H$7*I13*J13</f>
        <v>36918</v>
      </c>
      <c r="L13" t="s">
        <v>48</v>
      </c>
      <c r="M13" s="29">
        <v>1</v>
      </c>
      <c r="N13" s="101">
        <v>5000</v>
      </c>
      <c r="O13" s="95">
        <v>5000</v>
      </c>
      <c r="P13" s="95">
        <f>O13*Table!$H$1</f>
        <v>1549</v>
      </c>
      <c r="Q13" s="95">
        <f t="shared" si="5"/>
        <v>6549</v>
      </c>
      <c r="R13" s="95"/>
      <c r="S13" s="95">
        <f t="shared" si="6"/>
        <v>6549</v>
      </c>
      <c r="T13" s="96">
        <f t="shared" si="7"/>
        <v>30369</v>
      </c>
      <c r="U13"/>
      <c r="V13" s="15">
        <f aca="true" t="shared" si="18" ref="V13:V28">J13</f>
        <v>50</v>
      </c>
      <c r="W13" s="27">
        <f t="shared" si="1"/>
        <v>1</v>
      </c>
      <c r="X13" s="98">
        <f t="shared" si="8"/>
        <v>6073.8</v>
      </c>
      <c r="Y13" s="133">
        <f t="shared" si="9"/>
        <v>15184.5</v>
      </c>
      <c r="Z13" s="98">
        <f t="shared" si="10"/>
        <v>9110.699999999999</v>
      </c>
      <c r="AA13" s="12">
        <f t="shared" si="11"/>
        <v>0</v>
      </c>
      <c r="AB13" s="27">
        <f t="shared" si="2"/>
        <v>0</v>
      </c>
      <c r="AC13" s="96">
        <f>T13*AB13</f>
        <v>0</v>
      </c>
      <c r="AD13"/>
      <c r="AE13" s="99">
        <f t="shared" si="13"/>
        <v>5000</v>
      </c>
      <c r="AF13" s="99">
        <f t="shared" si="14"/>
        <v>1549</v>
      </c>
      <c r="AG13" s="99">
        <f t="shared" si="15"/>
        <v>6549</v>
      </c>
      <c r="AH13" s="95"/>
      <c r="AI13" s="95"/>
      <c r="AJ13" s="95">
        <f t="shared" si="16"/>
        <v>6549</v>
      </c>
      <c r="AK13" s="95">
        <f>S13-AJ13</f>
        <v>0</v>
      </c>
    </row>
    <row r="14" spans="1:37" s="29" customFormat="1" ht="15">
      <c r="A14" s="26" t="s">
        <v>165</v>
      </c>
      <c r="B14" s="182">
        <v>2043</v>
      </c>
      <c r="C14" s="7" t="s">
        <v>34</v>
      </c>
      <c r="D14" s="187" t="s">
        <v>169</v>
      </c>
      <c r="E14" s="187" t="s">
        <v>111</v>
      </c>
      <c r="F14" s="7" t="s">
        <v>0</v>
      </c>
      <c r="G14" t="s">
        <v>36</v>
      </c>
      <c r="H14" t="s">
        <v>186</v>
      </c>
      <c r="I14" s="5">
        <v>3</v>
      </c>
      <c r="J14" s="29">
        <f t="shared" si="4"/>
        <v>50</v>
      </c>
      <c r="K14" s="100">
        <f>Table!$H$7*I14*J14</f>
        <v>36918</v>
      </c>
      <c r="L14" t="s">
        <v>47</v>
      </c>
      <c r="M14" s="29">
        <v>1</v>
      </c>
      <c r="N14" s="101">
        <v>50000</v>
      </c>
      <c r="O14" s="95">
        <f aca="true" t="shared" si="19" ref="O14:O28">IF(N14="A1","$4,000.00",(IF(N14="A2","$5,000.00",(IF(N14="A3","$5,000.00",(IF(L14="TTIN",I14*N14*0.025,IF(L14="TTIR",I14*N14*0.025,(IF(L14="O",I14*N14*0.025,(IF(L14="CIN",I14*N14*0.025,(IF(L14="CIR",I14*N14*0.025,(IF(L14="IR",I14*N14*0.025,(IF(L14="IN",I14*N14*0.025,(IF(L14="GA",I14*N14*0.025,(IF(L14="CISP",I14*N14*0.04))))))))))))))))))))))</f>
        <v>6000</v>
      </c>
      <c r="P14" s="95">
        <f>O14*Table!$H$1</f>
        <v>1858.8000000000002</v>
      </c>
      <c r="Q14" s="95">
        <f t="shared" si="5"/>
        <v>7858.8</v>
      </c>
      <c r="R14" s="95"/>
      <c r="S14" s="95">
        <f t="shared" si="6"/>
        <v>7858.8</v>
      </c>
      <c r="T14" s="96">
        <f t="shared" si="7"/>
        <v>29059.2</v>
      </c>
      <c r="U14"/>
      <c r="V14" s="15">
        <f t="shared" si="18"/>
        <v>50</v>
      </c>
      <c r="W14" s="27">
        <f t="shared" si="1"/>
        <v>1</v>
      </c>
      <c r="X14" s="98">
        <f t="shared" si="8"/>
        <v>5811.84</v>
      </c>
      <c r="Y14" s="133">
        <f t="shared" si="9"/>
        <v>14529.6</v>
      </c>
      <c r="Z14" s="98">
        <f t="shared" si="10"/>
        <v>8717.76</v>
      </c>
      <c r="AA14" s="12">
        <f t="shared" si="11"/>
        <v>0</v>
      </c>
      <c r="AB14" s="27">
        <f t="shared" si="2"/>
        <v>0</v>
      </c>
      <c r="AC14" s="96">
        <f>T14*AB14</f>
        <v>0</v>
      </c>
      <c r="AD14"/>
      <c r="AE14" s="99">
        <f t="shared" si="13"/>
        <v>6000</v>
      </c>
      <c r="AF14" s="99">
        <f t="shared" si="14"/>
        <v>1858.8000000000002</v>
      </c>
      <c r="AG14" s="99">
        <f t="shared" si="15"/>
        <v>7858.8</v>
      </c>
      <c r="AH14" s="95"/>
      <c r="AI14" s="95"/>
      <c r="AJ14" s="95">
        <f t="shared" si="16"/>
        <v>7858.8</v>
      </c>
      <c r="AK14" s="95">
        <f>S14-AJ14</f>
        <v>0</v>
      </c>
    </row>
    <row r="15" spans="1:37" s="29" customFormat="1" ht="15">
      <c r="A15" s="26" t="s">
        <v>170</v>
      </c>
      <c r="B15" s="182">
        <v>3023</v>
      </c>
      <c r="C15" s="7" t="s">
        <v>34</v>
      </c>
      <c r="D15" s="187" t="s">
        <v>171</v>
      </c>
      <c r="E15" s="187" t="s">
        <v>111</v>
      </c>
      <c r="F15" s="7" t="s">
        <v>0</v>
      </c>
      <c r="G15" t="s">
        <v>36</v>
      </c>
      <c r="H15" t="s">
        <v>186</v>
      </c>
      <c r="I15" s="5">
        <v>3</v>
      </c>
      <c r="J15" s="29">
        <f t="shared" si="4"/>
        <v>50</v>
      </c>
      <c r="K15" s="100">
        <f>Table!$H$7*I15*J15</f>
        <v>36918</v>
      </c>
      <c r="L15" t="s">
        <v>47</v>
      </c>
      <c r="M15" s="29">
        <v>1</v>
      </c>
      <c r="N15" s="101">
        <v>50000</v>
      </c>
      <c r="O15" s="95">
        <f t="shared" si="19"/>
        <v>6000</v>
      </c>
      <c r="P15" s="95">
        <f>O15*Table!$H$1</f>
        <v>1858.8000000000002</v>
      </c>
      <c r="Q15" s="95">
        <f t="shared" si="5"/>
        <v>7858.8</v>
      </c>
      <c r="R15" s="95"/>
      <c r="S15" s="95">
        <f t="shared" si="6"/>
        <v>7858.8</v>
      </c>
      <c r="T15" s="96">
        <f t="shared" si="7"/>
        <v>29059.2</v>
      </c>
      <c r="U15"/>
      <c r="V15" s="15">
        <f t="shared" si="18"/>
        <v>50</v>
      </c>
      <c r="W15" s="27">
        <f t="shared" si="1"/>
        <v>1</v>
      </c>
      <c r="X15" s="98">
        <f t="shared" si="8"/>
        <v>5811.84</v>
      </c>
      <c r="Y15" s="133">
        <f t="shared" si="9"/>
        <v>14529.6</v>
      </c>
      <c r="Z15" s="98">
        <f t="shared" si="10"/>
        <v>8717.76</v>
      </c>
      <c r="AA15" s="12">
        <f t="shared" si="11"/>
        <v>0</v>
      </c>
      <c r="AB15" s="27">
        <f t="shared" si="2"/>
        <v>0</v>
      </c>
      <c r="AC15" s="96">
        <f>T15*AB15</f>
        <v>0</v>
      </c>
      <c r="AD15"/>
      <c r="AE15" s="99">
        <f t="shared" si="13"/>
        <v>6000</v>
      </c>
      <c r="AF15" s="99">
        <f t="shared" si="14"/>
        <v>1858.8000000000002</v>
      </c>
      <c r="AG15" s="99">
        <f t="shared" si="15"/>
        <v>7858.8</v>
      </c>
      <c r="AH15" s="95"/>
      <c r="AI15" s="95"/>
      <c r="AJ15" s="95">
        <f t="shared" si="16"/>
        <v>7858.8</v>
      </c>
      <c r="AK15" s="95">
        <f>S15-AJ15</f>
        <v>0</v>
      </c>
    </row>
    <row r="16" spans="1:37" s="29" customFormat="1" ht="15">
      <c r="A16" s="26" t="s">
        <v>165</v>
      </c>
      <c r="B16" s="182">
        <v>3043</v>
      </c>
      <c r="C16" s="7" t="s">
        <v>34</v>
      </c>
      <c r="D16" s="187" t="s">
        <v>172</v>
      </c>
      <c r="E16" s="187" t="s">
        <v>111</v>
      </c>
      <c r="F16" s="7" t="s">
        <v>0</v>
      </c>
      <c r="G16" t="s">
        <v>36</v>
      </c>
      <c r="H16" t="s">
        <v>186</v>
      </c>
      <c r="I16" s="5">
        <v>3</v>
      </c>
      <c r="J16" s="29">
        <f t="shared" si="4"/>
        <v>50</v>
      </c>
      <c r="K16" s="100">
        <f>Table!$H$7*I16*J16</f>
        <v>36918</v>
      </c>
      <c r="L16" t="s">
        <v>47</v>
      </c>
      <c r="M16" s="29">
        <v>1</v>
      </c>
      <c r="N16" s="101">
        <v>50000</v>
      </c>
      <c r="O16" s="95">
        <f t="shared" si="19"/>
        <v>6000</v>
      </c>
      <c r="P16" s="95">
        <f>O16*Table!$H$1</f>
        <v>1858.8000000000002</v>
      </c>
      <c r="Q16" s="95">
        <f t="shared" si="5"/>
        <v>7858.8</v>
      </c>
      <c r="R16" s="95"/>
      <c r="S16" s="95">
        <f t="shared" si="6"/>
        <v>7858.8</v>
      </c>
      <c r="T16" s="96">
        <f t="shared" si="7"/>
        <v>29059.2</v>
      </c>
      <c r="U16"/>
      <c r="V16" s="15">
        <f t="shared" si="18"/>
        <v>50</v>
      </c>
      <c r="W16" s="27">
        <f t="shared" si="1"/>
        <v>1</v>
      </c>
      <c r="X16" s="98">
        <f t="shared" si="8"/>
        <v>5811.84</v>
      </c>
      <c r="Y16" s="133">
        <f t="shared" si="9"/>
        <v>14529.6</v>
      </c>
      <c r="Z16" s="98">
        <f t="shared" si="10"/>
        <v>8717.76</v>
      </c>
      <c r="AA16" s="12">
        <f t="shared" si="11"/>
        <v>0</v>
      </c>
      <c r="AB16" s="27">
        <f t="shared" si="2"/>
        <v>0</v>
      </c>
      <c r="AC16" s="96">
        <f>T16*AB16</f>
        <v>0</v>
      </c>
      <c r="AD16"/>
      <c r="AE16" s="99">
        <f t="shared" si="13"/>
        <v>6000</v>
      </c>
      <c r="AF16" s="99">
        <f t="shared" si="14"/>
        <v>1858.8000000000002</v>
      </c>
      <c r="AG16" s="99">
        <f t="shared" si="15"/>
        <v>7858.8</v>
      </c>
      <c r="AH16" s="95"/>
      <c r="AI16" s="95"/>
      <c r="AJ16" s="95">
        <f t="shared" si="16"/>
        <v>7858.8</v>
      </c>
      <c r="AK16" s="95">
        <f>S16-AJ16</f>
        <v>0</v>
      </c>
    </row>
    <row r="17" spans="1:37" s="29" customFormat="1" ht="15">
      <c r="A17" s="26" t="s">
        <v>170</v>
      </c>
      <c r="B17" s="182">
        <v>3203</v>
      </c>
      <c r="C17" s="7" t="s">
        <v>34</v>
      </c>
      <c r="D17" s="187" t="s">
        <v>173</v>
      </c>
      <c r="E17" s="187" t="s">
        <v>111</v>
      </c>
      <c r="F17" s="7" t="s">
        <v>0</v>
      </c>
      <c r="G17" t="s">
        <v>36</v>
      </c>
      <c r="H17" t="s">
        <v>186</v>
      </c>
      <c r="I17" s="5">
        <v>3</v>
      </c>
      <c r="J17" s="29">
        <f t="shared" si="4"/>
        <v>50</v>
      </c>
      <c r="K17" s="100">
        <f>Table!$H$7*I17*J17</f>
        <v>36918</v>
      </c>
      <c r="L17" t="s">
        <v>75</v>
      </c>
      <c r="M17" s="29">
        <v>1</v>
      </c>
      <c r="N17" s="101">
        <v>50000</v>
      </c>
      <c r="O17" s="95">
        <f t="shared" si="19"/>
        <v>3750</v>
      </c>
      <c r="P17" s="95">
        <f>O17*Table!$H$1</f>
        <v>1161.75</v>
      </c>
      <c r="Q17" s="95">
        <f t="shared" si="5"/>
        <v>4911.75</v>
      </c>
      <c r="R17" s="95"/>
      <c r="S17" s="95">
        <f t="shared" si="6"/>
        <v>4911.75</v>
      </c>
      <c r="T17" s="96">
        <f t="shared" si="7"/>
        <v>32006.25</v>
      </c>
      <c r="U17"/>
      <c r="V17" s="15">
        <f t="shared" si="18"/>
        <v>50</v>
      </c>
      <c r="W17" s="27">
        <f t="shared" si="1"/>
        <v>1</v>
      </c>
      <c r="X17" s="98">
        <f t="shared" si="8"/>
        <v>6401.25</v>
      </c>
      <c r="Y17" s="133">
        <f t="shared" si="9"/>
        <v>16003.125</v>
      </c>
      <c r="Z17" s="98">
        <f t="shared" si="10"/>
        <v>9601.875</v>
      </c>
      <c r="AA17" s="12">
        <f t="shared" si="11"/>
        <v>0</v>
      </c>
      <c r="AB17" s="27">
        <f t="shared" si="2"/>
        <v>0</v>
      </c>
      <c r="AC17" s="96">
        <f>T17*AB17</f>
        <v>0</v>
      </c>
      <c r="AD17"/>
      <c r="AE17" s="99">
        <f t="shared" si="13"/>
        <v>3750</v>
      </c>
      <c r="AF17" s="99">
        <f t="shared" si="14"/>
        <v>1161.75</v>
      </c>
      <c r="AG17" s="99">
        <f t="shared" si="15"/>
        <v>4911.75</v>
      </c>
      <c r="AH17" s="95"/>
      <c r="AI17" s="95"/>
      <c r="AJ17" s="95">
        <f t="shared" si="16"/>
        <v>4911.75</v>
      </c>
      <c r="AK17" s="95">
        <f>S17-AJ17</f>
        <v>0</v>
      </c>
    </row>
    <row r="18" spans="1:37" s="29" customFormat="1" ht="15">
      <c r="A18" s="26" t="s">
        <v>167</v>
      </c>
      <c r="B18" s="182" t="s">
        <v>188</v>
      </c>
      <c r="C18" s="7" t="s">
        <v>34</v>
      </c>
      <c r="D18" s="187" t="s">
        <v>187</v>
      </c>
      <c r="E18" s="187" t="s">
        <v>111</v>
      </c>
      <c r="F18" s="7" t="s">
        <v>0</v>
      </c>
      <c r="G18" t="s">
        <v>36</v>
      </c>
      <c r="H18" t="s">
        <v>186</v>
      </c>
      <c r="I18" s="5">
        <v>4</v>
      </c>
      <c r="J18" s="29">
        <f t="shared" si="4"/>
        <v>50</v>
      </c>
      <c r="K18" s="100">
        <f>Table!$H$7*I18*J18</f>
        <v>49224</v>
      </c>
      <c r="L18" t="s">
        <v>47</v>
      </c>
      <c r="M18" s="29">
        <v>1</v>
      </c>
      <c r="N18" s="101">
        <v>50000</v>
      </c>
      <c r="O18" s="95">
        <f t="shared" si="19"/>
        <v>8000</v>
      </c>
      <c r="P18" s="95">
        <f>O18*Table!$H$1</f>
        <v>2478.4</v>
      </c>
      <c r="Q18" s="95">
        <f t="shared" si="5"/>
        <v>10478.4</v>
      </c>
      <c r="R18" s="95"/>
      <c r="S18" s="95">
        <f t="shared" si="6"/>
        <v>10478.4</v>
      </c>
      <c r="T18" s="96">
        <f t="shared" si="7"/>
        <v>38745.6</v>
      </c>
      <c r="U18"/>
      <c r="V18" s="15">
        <f t="shared" si="18"/>
        <v>50</v>
      </c>
      <c r="W18" s="27">
        <f t="shared" si="1"/>
        <v>1</v>
      </c>
      <c r="X18" s="98">
        <f aca="true" t="shared" si="20" ref="X18:X28">(W18*T18)*$X$9</f>
        <v>7749.12</v>
      </c>
      <c r="Y18" s="133">
        <f aca="true" t="shared" si="21" ref="Y18:Y28">(W18*T18)*$Y$9</f>
        <v>19372.8</v>
      </c>
      <c r="Z18" s="98">
        <f aca="true" t="shared" si="22" ref="Z18:Z28">(W18*T18)*$Z$9</f>
        <v>11623.679999999998</v>
      </c>
      <c r="AA18" s="12">
        <f t="shared" si="11"/>
        <v>0</v>
      </c>
      <c r="AB18" s="27">
        <f t="shared" si="2"/>
        <v>0</v>
      </c>
      <c r="AC18" s="96">
        <f aca="true" t="shared" si="23" ref="AC18:AC28">T18*AB18</f>
        <v>0</v>
      </c>
      <c r="AD18"/>
      <c r="AE18" s="99">
        <f t="shared" si="13"/>
        <v>8000</v>
      </c>
      <c r="AF18" s="99">
        <f t="shared" si="14"/>
        <v>2478.4</v>
      </c>
      <c r="AG18" s="99">
        <f t="shared" si="15"/>
        <v>10478.4</v>
      </c>
      <c r="AH18" s="95"/>
      <c r="AI18" s="95"/>
      <c r="AJ18" s="95">
        <f t="shared" si="16"/>
        <v>10478.4</v>
      </c>
      <c r="AK18" s="95">
        <f aca="true" t="shared" si="24" ref="AK18:AK28">S18-AJ18</f>
        <v>0</v>
      </c>
    </row>
    <row r="19" spans="1:37" s="29" customFormat="1" ht="15">
      <c r="A19" s="26" t="s">
        <v>167</v>
      </c>
      <c r="B19" s="182">
        <v>3313</v>
      </c>
      <c r="C19" s="7" t="s">
        <v>34</v>
      </c>
      <c r="D19" s="187" t="s">
        <v>174</v>
      </c>
      <c r="E19" s="187" t="s">
        <v>111</v>
      </c>
      <c r="F19" s="7" t="s">
        <v>0</v>
      </c>
      <c r="G19" t="s">
        <v>36</v>
      </c>
      <c r="H19" t="s">
        <v>186</v>
      </c>
      <c r="I19" s="5">
        <v>3</v>
      </c>
      <c r="J19" s="29">
        <f t="shared" si="4"/>
        <v>50</v>
      </c>
      <c r="K19" s="100">
        <f>Table!$H$7*I19*J19</f>
        <v>36918</v>
      </c>
      <c r="L19" t="s">
        <v>47</v>
      </c>
      <c r="M19" s="29">
        <v>1</v>
      </c>
      <c r="N19" s="101">
        <v>50000</v>
      </c>
      <c r="O19" s="95">
        <f t="shared" si="19"/>
        <v>6000</v>
      </c>
      <c r="P19" s="95">
        <f>O19*Table!$H$1</f>
        <v>1858.8000000000002</v>
      </c>
      <c r="Q19" s="95">
        <f t="shared" si="5"/>
        <v>7858.8</v>
      </c>
      <c r="R19" s="95"/>
      <c r="S19" s="95">
        <f t="shared" si="6"/>
        <v>7858.8</v>
      </c>
      <c r="T19" s="96">
        <f t="shared" si="7"/>
        <v>29059.2</v>
      </c>
      <c r="U19"/>
      <c r="V19" s="15">
        <f t="shared" si="18"/>
        <v>50</v>
      </c>
      <c r="W19" s="27">
        <f t="shared" si="1"/>
        <v>1</v>
      </c>
      <c r="X19" s="98">
        <f t="shared" si="20"/>
        <v>5811.84</v>
      </c>
      <c r="Y19" s="133">
        <f t="shared" si="21"/>
        <v>14529.6</v>
      </c>
      <c r="Z19" s="98">
        <f t="shared" si="22"/>
        <v>8717.76</v>
      </c>
      <c r="AA19" s="12">
        <f t="shared" si="11"/>
        <v>0</v>
      </c>
      <c r="AB19" s="27">
        <f t="shared" si="2"/>
        <v>0</v>
      </c>
      <c r="AC19" s="96">
        <f t="shared" si="23"/>
        <v>0</v>
      </c>
      <c r="AD19"/>
      <c r="AE19" s="99">
        <f t="shared" si="13"/>
        <v>6000</v>
      </c>
      <c r="AF19" s="99">
        <f t="shared" si="14"/>
        <v>1858.8000000000002</v>
      </c>
      <c r="AG19" s="99">
        <f t="shared" si="15"/>
        <v>7858.8</v>
      </c>
      <c r="AH19" s="95"/>
      <c r="AI19" s="95"/>
      <c r="AJ19" s="95">
        <f t="shared" si="16"/>
        <v>7858.8</v>
      </c>
      <c r="AK19" s="95">
        <f t="shared" si="24"/>
        <v>0</v>
      </c>
    </row>
    <row r="20" spans="1:37" s="29" customFormat="1" ht="15">
      <c r="A20" s="26" t="s">
        <v>170</v>
      </c>
      <c r="B20" s="182">
        <v>3723</v>
      </c>
      <c r="C20" s="7" t="s">
        <v>34</v>
      </c>
      <c r="D20" s="188" t="s">
        <v>175</v>
      </c>
      <c r="E20" s="188" t="s">
        <v>111</v>
      </c>
      <c r="F20" s="7" t="s">
        <v>0</v>
      </c>
      <c r="G20" t="s">
        <v>36</v>
      </c>
      <c r="H20" t="s">
        <v>186</v>
      </c>
      <c r="I20" s="5">
        <v>3</v>
      </c>
      <c r="J20" s="29">
        <f t="shared" si="4"/>
        <v>50</v>
      </c>
      <c r="K20" s="100">
        <f>Table!$H$7*I20*J20</f>
        <v>36918</v>
      </c>
      <c r="L20" t="s">
        <v>51</v>
      </c>
      <c r="M20" s="29">
        <v>1</v>
      </c>
      <c r="N20" s="101">
        <v>50000</v>
      </c>
      <c r="O20" s="95">
        <f t="shared" si="19"/>
        <v>3750</v>
      </c>
      <c r="P20" s="95">
        <f>O20*Table!$H$1</f>
        <v>1161.75</v>
      </c>
      <c r="Q20" s="95">
        <f t="shared" si="5"/>
        <v>4911.75</v>
      </c>
      <c r="R20" s="95"/>
      <c r="S20" s="95">
        <f t="shared" si="6"/>
        <v>4911.75</v>
      </c>
      <c r="T20" s="96">
        <f t="shared" si="7"/>
        <v>32006.25</v>
      </c>
      <c r="U20"/>
      <c r="V20" s="15">
        <f t="shared" si="18"/>
        <v>50</v>
      </c>
      <c r="W20" s="27">
        <f t="shared" si="1"/>
        <v>1</v>
      </c>
      <c r="X20" s="98">
        <f t="shared" si="20"/>
        <v>6401.25</v>
      </c>
      <c r="Y20" s="133">
        <f t="shared" si="21"/>
        <v>16003.125</v>
      </c>
      <c r="Z20" s="98">
        <f t="shared" si="22"/>
        <v>9601.875</v>
      </c>
      <c r="AA20" s="12">
        <f t="shared" si="11"/>
        <v>0</v>
      </c>
      <c r="AB20" s="27">
        <f t="shared" si="2"/>
        <v>0</v>
      </c>
      <c r="AC20" s="96">
        <f t="shared" si="23"/>
        <v>0</v>
      </c>
      <c r="AD20"/>
      <c r="AE20" s="99">
        <f t="shared" si="13"/>
        <v>3750</v>
      </c>
      <c r="AF20" s="99">
        <f t="shared" si="14"/>
        <v>1161.75</v>
      </c>
      <c r="AG20" s="99">
        <f t="shared" si="15"/>
        <v>4911.75</v>
      </c>
      <c r="AH20" s="95"/>
      <c r="AI20" s="95"/>
      <c r="AJ20" s="95">
        <f t="shared" si="16"/>
        <v>4911.75</v>
      </c>
      <c r="AK20" s="95">
        <f t="shared" si="24"/>
        <v>0</v>
      </c>
    </row>
    <row r="21" spans="1:37" s="29" customFormat="1" ht="15">
      <c r="A21" s="26" t="s">
        <v>170</v>
      </c>
      <c r="B21" s="182">
        <v>3513</v>
      </c>
      <c r="C21" s="7" t="s">
        <v>34</v>
      </c>
      <c r="D21" s="188" t="s">
        <v>176</v>
      </c>
      <c r="E21" s="188" t="s">
        <v>131</v>
      </c>
      <c r="F21" s="7" t="s">
        <v>0</v>
      </c>
      <c r="G21" t="s">
        <v>36</v>
      </c>
      <c r="H21" t="s">
        <v>186</v>
      </c>
      <c r="I21" s="5">
        <v>3</v>
      </c>
      <c r="J21" s="29">
        <f>$J$8/2</f>
        <v>25</v>
      </c>
      <c r="K21" s="100">
        <f>Table!$H$7*I21*J21</f>
        <v>18459</v>
      </c>
      <c r="L21" t="s">
        <v>75</v>
      </c>
      <c r="M21" s="29">
        <v>1</v>
      </c>
      <c r="N21" s="101">
        <v>50000</v>
      </c>
      <c r="O21" s="95">
        <f t="shared" si="19"/>
        <v>3750</v>
      </c>
      <c r="P21" s="95">
        <f>O21*Table!$H$1</f>
        <v>1161.75</v>
      </c>
      <c r="Q21" s="95">
        <f t="shared" si="5"/>
        <v>4911.75</v>
      </c>
      <c r="R21" s="95"/>
      <c r="S21" s="95">
        <f t="shared" si="6"/>
        <v>4911.75</v>
      </c>
      <c r="T21" s="96">
        <f t="shared" si="7"/>
        <v>13547.25</v>
      </c>
      <c r="U21"/>
      <c r="V21" s="15">
        <f t="shared" si="18"/>
        <v>25</v>
      </c>
      <c r="W21" s="27">
        <f t="shared" si="1"/>
        <v>1</v>
      </c>
      <c r="X21" s="98">
        <f t="shared" si="20"/>
        <v>2709.4500000000003</v>
      </c>
      <c r="Y21" s="133">
        <f t="shared" si="21"/>
        <v>6773.625</v>
      </c>
      <c r="Z21" s="98">
        <f t="shared" si="22"/>
        <v>4064.1749999999997</v>
      </c>
      <c r="AA21" s="12">
        <f t="shared" si="11"/>
        <v>0</v>
      </c>
      <c r="AB21" s="27">
        <f t="shared" si="2"/>
        <v>0</v>
      </c>
      <c r="AC21" s="96">
        <f t="shared" si="23"/>
        <v>0</v>
      </c>
      <c r="AD21"/>
      <c r="AE21" s="99">
        <f t="shared" si="13"/>
        <v>3750</v>
      </c>
      <c r="AF21" s="99">
        <f t="shared" si="14"/>
        <v>1161.75</v>
      </c>
      <c r="AG21" s="99">
        <f t="shared" si="15"/>
        <v>4911.75</v>
      </c>
      <c r="AH21" s="95"/>
      <c r="AI21" s="95"/>
      <c r="AJ21" s="95">
        <f t="shared" si="16"/>
        <v>4911.75</v>
      </c>
      <c r="AK21" s="95">
        <f t="shared" si="24"/>
        <v>0</v>
      </c>
    </row>
    <row r="22" spans="1:37" s="29" customFormat="1" ht="15">
      <c r="A22" s="26" t="s">
        <v>170</v>
      </c>
      <c r="B22" s="182">
        <v>3063</v>
      </c>
      <c r="C22" s="7" t="s">
        <v>34</v>
      </c>
      <c r="D22" s="188" t="s">
        <v>177</v>
      </c>
      <c r="E22" s="188" t="s">
        <v>131</v>
      </c>
      <c r="F22" s="7" t="s">
        <v>0</v>
      </c>
      <c r="G22" t="s">
        <v>36</v>
      </c>
      <c r="H22" t="s">
        <v>186</v>
      </c>
      <c r="I22" s="5">
        <v>3</v>
      </c>
      <c r="J22" s="29">
        <f aca="true" t="shared" si="25" ref="J22:J28">$J$8/2</f>
        <v>25</v>
      </c>
      <c r="K22" s="100">
        <f>Table!$H$7*I22*J22</f>
        <v>18459</v>
      </c>
      <c r="L22" t="s">
        <v>51</v>
      </c>
      <c r="M22" s="29">
        <v>1</v>
      </c>
      <c r="N22" s="101">
        <v>50000</v>
      </c>
      <c r="O22" s="95">
        <f t="shared" si="19"/>
        <v>3750</v>
      </c>
      <c r="P22" s="95">
        <f>O22*Table!$H$1</f>
        <v>1161.75</v>
      </c>
      <c r="Q22" s="95">
        <f t="shared" si="5"/>
        <v>4911.75</v>
      </c>
      <c r="R22" s="95"/>
      <c r="S22" s="95">
        <f t="shared" si="6"/>
        <v>4911.75</v>
      </c>
      <c r="T22" s="96">
        <f t="shared" si="7"/>
        <v>13547.25</v>
      </c>
      <c r="U22"/>
      <c r="V22" s="15">
        <f t="shared" si="18"/>
        <v>25</v>
      </c>
      <c r="W22" s="27">
        <f t="shared" si="1"/>
        <v>1</v>
      </c>
      <c r="X22" s="98">
        <f t="shared" si="20"/>
        <v>2709.4500000000003</v>
      </c>
      <c r="Y22" s="133">
        <f t="shared" si="21"/>
        <v>6773.625</v>
      </c>
      <c r="Z22" s="98">
        <f t="shared" si="22"/>
        <v>4064.1749999999997</v>
      </c>
      <c r="AA22" s="12">
        <f t="shared" si="11"/>
        <v>0</v>
      </c>
      <c r="AB22" s="27">
        <f t="shared" si="2"/>
        <v>0</v>
      </c>
      <c r="AC22" s="96">
        <f t="shared" si="23"/>
        <v>0</v>
      </c>
      <c r="AD22"/>
      <c r="AE22" s="99">
        <f t="shared" si="13"/>
        <v>3750</v>
      </c>
      <c r="AF22" s="99">
        <f t="shared" si="14"/>
        <v>1161.75</v>
      </c>
      <c r="AG22" s="99">
        <f t="shared" si="15"/>
        <v>4911.75</v>
      </c>
      <c r="AH22" s="95"/>
      <c r="AI22" s="95"/>
      <c r="AJ22" s="95">
        <f t="shared" si="16"/>
        <v>4911.75</v>
      </c>
      <c r="AK22" s="95">
        <f t="shared" si="24"/>
        <v>0</v>
      </c>
    </row>
    <row r="23" spans="1:37" s="29" customFormat="1" ht="15">
      <c r="A23" s="26" t="s">
        <v>165</v>
      </c>
      <c r="B23" s="182">
        <v>3503</v>
      </c>
      <c r="C23" s="7" t="s">
        <v>34</v>
      </c>
      <c r="D23" s="188" t="s">
        <v>178</v>
      </c>
      <c r="E23" s="188" t="s">
        <v>120</v>
      </c>
      <c r="F23" s="7" t="s">
        <v>0</v>
      </c>
      <c r="G23" t="s">
        <v>36</v>
      </c>
      <c r="H23" t="s">
        <v>186</v>
      </c>
      <c r="I23" s="5">
        <v>3</v>
      </c>
      <c r="J23" s="29">
        <f t="shared" si="25"/>
        <v>25</v>
      </c>
      <c r="K23" s="100">
        <f>Table!$H$7*I23*J23</f>
        <v>18459</v>
      </c>
      <c r="L23" t="s">
        <v>47</v>
      </c>
      <c r="M23" s="29">
        <v>1</v>
      </c>
      <c r="N23" s="101">
        <v>50000</v>
      </c>
      <c r="O23" s="95">
        <f t="shared" si="19"/>
        <v>6000</v>
      </c>
      <c r="P23" s="95">
        <f>O23*Table!$H$1</f>
        <v>1858.8000000000002</v>
      </c>
      <c r="Q23" s="95">
        <f t="shared" si="5"/>
        <v>7858.8</v>
      </c>
      <c r="R23" s="95"/>
      <c r="S23" s="95">
        <f t="shared" si="6"/>
        <v>7858.8</v>
      </c>
      <c r="T23" s="96">
        <f t="shared" si="7"/>
        <v>10600.2</v>
      </c>
      <c r="U23"/>
      <c r="V23" s="15">
        <f t="shared" si="18"/>
        <v>25</v>
      </c>
      <c r="W23" s="27">
        <f t="shared" si="1"/>
        <v>1</v>
      </c>
      <c r="X23" s="98">
        <f t="shared" si="20"/>
        <v>2120.0400000000004</v>
      </c>
      <c r="Y23" s="133">
        <f t="shared" si="21"/>
        <v>5300.1</v>
      </c>
      <c r="Z23" s="98">
        <f t="shared" si="22"/>
        <v>3180.06</v>
      </c>
      <c r="AA23" s="12">
        <f t="shared" si="11"/>
        <v>0</v>
      </c>
      <c r="AB23" s="27">
        <f t="shared" si="2"/>
        <v>0</v>
      </c>
      <c r="AC23" s="96">
        <f t="shared" si="23"/>
        <v>0</v>
      </c>
      <c r="AD23"/>
      <c r="AE23" s="99">
        <f t="shared" si="13"/>
        <v>6000</v>
      </c>
      <c r="AF23" s="99">
        <f t="shared" si="14"/>
        <v>1858.8000000000002</v>
      </c>
      <c r="AG23" s="99">
        <f t="shared" si="15"/>
        <v>7858.8</v>
      </c>
      <c r="AH23" s="95"/>
      <c r="AI23" s="95"/>
      <c r="AJ23" s="95">
        <f t="shared" si="16"/>
        <v>7858.8</v>
      </c>
      <c r="AK23" s="95">
        <f t="shared" si="24"/>
        <v>0</v>
      </c>
    </row>
    <row r="24" spans="1:37" s="29" customFormat="1" ht="15">
      <c r="A24" s="26" t="s">
        <v>165</v>
      </c>
      <c r="B24" s="182">
        <v>4013</v>
      </c>
      <c r="C24" s="7" t="s">
        <v>34</v>
      </c>
      <c r="D24" s="188" t="s">
        <v>179</v>
      </c>
      <c r="E24" s="188" t="s">
        <v>131</v>
      </c>
      <c r="F24" s="7" t="s">
        <v>0</v>
      </c>
      <c r="G24" t="s">
        <v>36</v>
      </c>
      <c r="H24" t="s">
        <v>186</v>
      </c>
      <c r="I24" s="5">
        <v>3</v>
      </c>
      <c r="J24" s="29">
        <f t="shared" si="25"/>
        <v>25</v>
      </c>
      <c r="K24" s="100">
        <f>Table!$H$7*I24*J24</f>
        <v>18459</v>
      </c>
      <c r="L24" t="s">
        <v>50</v>
      </c>
      <c r="M24" s="29">
        <v>1</v>
      </c>
      <c r="N24" s="101">
        <v>50000</v>
      </c>
      <c r="O24" s="95">
        <f t="shared" si="19"/>
        <v>3750</v>
      </c>
      <c r="P24" s="95">
        <f>O24*Table!$H$1</f>
        <v>1161.75</v>
      </c>
      <c r="Q24" s="95">
        <f t="shared" si="5"/>
        <v>4911.75</v>
      </c>
      <c r="R24" s="95"/>
      <c r="S24" s="95">
        <f t="shared" si="6"/>
        <v>4911.75</v>
      </c>
      <c r="T24" s="96">
        <f t="shared" si="7"/>
        <v>13547.25</v>
      </c>
      <c r="U24"/>
      <c r="V24" s="15">
        <f t="shared" si="18"/>
        <v>25</v>
      </c>
      <c r="W24" s="27">
        <f t="shared" si="1"/>
        <v>1</v>
      </c>
      <c r="X24" s="98">
        <f t="shared" si="20"/>
        <v>2709.4500000000003</v>
      </c>
      <c r="Y24" s="133">
        <f t="shared" si="21"/>
        <v>6773.625</v>
      </c>
      <c r="Z24" s="98">
        <f t="shared" si="22"/>
        <v>4064.1749999999997</v>
      </c>
      <c r="AA24" s="12">
        <f t="shared" si="11"/>
        <v>0</v>
      </c>
      <c r="AB24" s="27">
        <f t="shared" si="2"/>
        <v>0</v>
      </c>
      <c r="AC24" s="96">
        <f t="shared" si="23"/>
        <v>0</v>
      </c>
      <c r="AD24"/>
      <c r="AE24" s="99" t="str">
        <f t="shared" si="13"/>
        <v>0.00</v>
      </c>
      <c r="AF24" s="99" t="str">
        <f t="shared" si="14"/>
        <v>0.00</v>
      </c>
      <c r="AG24" s="99" t="str">
        <f t="shared" si="15"/>
        <v>0.00</v>
      </c>
      <c r="AH24" s="95"/>
      <c r="AI24" s="95"/>
      <c r="AJ24" s="95">
        <f t="shared" si="16"/>
        <v>0</v>
      </c>
      <c r="AK24" s="95">
        <f t="shared" si="24"/>
        <v>4911.75</v>
      </c>
    </row>
    <row r="25" spans="1:37" s="29" customFormat="1" ht="15">
      <c r="A25" s="26" t="s">
        <v>165</v>
      </c>
      <c r="B25" s="182">
        <v>4043</v>
      </c>
      <c r="C25" s="7" t="s">
        <v>34</v>
      </c>
      <c r="D25" s="188" t="s">
        <v>180</v>
      </c>
      <c r="E25" s="188" t="s">
        <v>192</v>
      </c>
      <c r="F25" s="7" t="s">
        <v>0</v>
      </c>
      <c r="G25" t="s">
        <v>36</v>
      </c>
      <c r="H25" t="s">
        <v>186</v>
      </c>
      <c r="I25" s="5">
        <v>3</v>
      </c>
      <c r="J25" s="29">
        <f t="shared" si="25"/>
        <v>25</v>
      </c>
      <c r="K25" s="100">
        <f>Table!$H$7*I25*J25</f>
        <v>18459</v>
      </c>
      <c r="L25" t="s">
        <v>75</v>
      </c>
      <c r="M25" s="29">
        <v>1</v>
      </c>
      <c r="N25" s="101">
        <v>50000</v>
      </c>
      <c r="O25" s="95">
        <f t="shared" si="19"/>
        <v>3750</v>
      </c>
      <c r="P25" s="95">
        <f>O25*Table!$H$1</f>
        <v>1161.75</v>
      </c>
      <c r="Q25" s="95">
        <f t="shared" si="5"/>
        <v>4911.75</v>
      </c>
      <c r="R25" s="95"/>
      <c r="S25" s="95">
        <f t="shared" si="6"/>
        <v>4911.75</v>
      </c>
      <c r="T25" s="96">
        <f t="shared" si="7"/>
        <v>13547.25</v>
      </c>
      <c r="U25"/>
      <c r="V25" s="15">
        <f t="shared" si="18"/>
        <v>25</v>
      </c>
      <c r="W25" s="27">
        <f t="shared" si="1"/>
        <v>1</v>
      </c>
      <c r="X25" s="98">
        <f t="shared" si="20"/>
        <v>2709.4500000000003</v>
      </c>
      <c r="Y25" s="133">
        <f t="shared" si="21"/>
        <v>6773.625</v>
      </c>
      <c r="Z25" s="98">
        <f t="shared" si="22"/>
        <v>4064.1749999999997</v>
      </c>
      <c r="AA25" s="12">
        <f t="shared" si="11"/>
        <v>0</v>
      </c>
      <c r="AB25" s="27">
        <f t="shared" si="2"/>
        <v>0</v>
      </c>
      <c r="AC25" s="96">
        <f t="shared" si="23"/>
        <v>0</v>
      </c>
      <c r="AD25"/>
      <c r="AE25" s="99">
        <f t="shared" si="13"/>
        <v>3750</v>
      </c>
      <c r="AF25" s="99">
        <f t="shared" si="14"/>
        <v>1161.75</v>
      </c>
      <c r="AG25" s="99">
        <f t="shared" si="15"/>
        <v>4911.75</v>
      </c>
      <c r="AH25" s="95"/>
      <c r="AI25" s="95"/>
      <c r="AJ25" s="95">
        <f t="shared" si="16"/>
        <v>4911.75</v>
      </c>
      <c r="AK25" s="95">
        <f t="shared" si="24"/>
        <v>0</v>
      </c>
    </row>
    <row r="26" spans="1:37" s="29" customFormat="1" ht="15">
      <c r="A26" s="26" t="s">
        <v>167</v>
      </c>
      <c r="B26" s="182">
        <v>4013</v>
      </c>
      <c r="C26" s="7" t="s">
        <v>34</v>
      </c>
      <c r="D26" s="188" t="s">
        <v>181</v>
      </c>
      <c r="E26" s="188" t="s">
        <v>192</v>
      </c>
      <c r="F26" s="7" t="s">
        <v>0</v>
      </c>
      <c r="G26" t="s">
        <v>36</v>
      </c>
      <c r="H26" t="s">
        <v>186</v>
      </c>
      <c r="I26" s="5">
        <v>3</v>
      </c>
      <c r="J26" s="29">
        <f t="shared" si="25"/>
        <v>25</v>
      </c>
      <c r="K26" s="100">
        <f>Table!$H$7*I26*J26</f>
        <v>18459</v>
      </c>
      <c r="L26" t="s">
        <v>50</v>
      </c>
      <c r="M26" s="29">
        <v>1</v>
      </c>
      <c r="N26" s="101">
        <v>50000</v>
      </c>
      <c r="O26" s="95">
        <f t="shared" si="19"/>
        <v>3750</v>
      </c>
      <c r="P26" s="95">
        <f>O26*Table!$H$1</f>
        <v>1161.75</v>
      </c>
      <c r="Q26" s="95">
        <f t="shared" si="5"/>
        <v>4911.75</v>
      </c>
      <c r="R26" s="95"/>
      <c r="S26" s="95">
        <f t="shared" si="6"/>
        <v>4911.75</v>
      </c>
      <c r="T26" s="96">
        <f t="shared" si="7"/>
        <v>13547.25</v>
      </c>
      <c r="U26"/>
      <c r="V26" s="15">
        <f t="shared" si="18"/>
        <v>25</v>
      </c>
      <c r="W26" s="27">
        <f t="shared" si="1"/>
        <v>1</v>
      </c>
      <c r="X26" s="98">
        <f t="shared" si="20"/>
        <v>2709.4500000000003</v>
      </c>
      <c r="Y26" s="133">
        <f t="shared" si="21"/>
        <v>6773.625</v>
      </c>
      <c r="Z26" s="98">
        <f t="shared" si="22"/>
        <v>4064.1749999999997</v>
      </c>
      <c r="AA26" s="12">
        <f t="shared" si="11"/>
        <v>0</v>
      </c>
      <c r="AB26" s="27">
        <f t="shared" si="2"/>
        <v>0</v>
      </c>
      <c r="AC26" s="96">
        <f t="shared" si="23"/>
        <v>0</v>
      </c>
      <c r="AD26"/>
      <c r="AE26" s="99" t="str">
        <f t="shared" si="13"/>
        <v>0.00</v>
      </c>
      <c r="AF26" s="99" t="str">
        <f t="shared" si="14"/>
        <v>0.00</v>
      </c>
      <c r="AG26" s="99" t="str">
        <f t="shared" si="15"/>
        <v>0.00</v>
      </c>
      <c r="AH26" s="95"/>
      <c r="AI26" s="95"/>
      <c r="AJ26" s="95">
        <f t="shared" si="16"/>
        <v>0</v>
      </c>
      <c r="AK26" s="95">
        <f t="shared" si="24"/>
        <v>4911.75</v>
      </c>
    </row>
    <row r="27" spans="1:37" s="29" customFormat="1" ht="15">
      <c r="A27" s="26" t="s">
        <v>165</v>
      </c>
      <c r="B27" s="182">
        <v>3413</v>
      </c>
      <c r="C27" s="7" t="s">
        <v>34</v>
      </c>
      <c r="D27" s="188" t="s">
        <v>179</v>
      </c>
      <c r="E27" s="188" t="s">
        <v>192</v>
      </c>
      <c r="F27" s="7" t="s">
        <v>0</v>
      </c>
      <c r="G27" t="s">
        <v>36</v>
      </c>
      <c r="H27" t="s">
        <v>186</v>
      </c>
      <c r="I27" s="5">
        <v>3</v>
      </c>
      <c r="J27" s="29">
        <f t="shared" si="25"/>
        <v>25</v>
      </c>
      <c r="K27" s="100">
        <f>Table!$H$7*I27*J27</f>
        <v>18459</v>
      </c>
      <c r="L27" t="s">
        <v>50</v>
      </c>
      <c r="M27" s="29">
        <v>1</v>
      </c>
      <c r="N27" s="101">
        <v>50000</v>
      </c>
      <c r="O27" s="95">
        <f t="shared" si="19"/>
        <v>3750</v>
      </c>
      <c r="P27" s="95">
        <f>O27*Table!$H$1</f>
        <v>1161.75</v>
      </c>
      <c r="Q27" s="95">
        <f t="shared" si="5"/>
        <v>4911.75</v>
      </c>
      <c r="R27" s="95"/>
      <c r="S27" s="95">
        <f t="shared" si="6"/>
        <v>4911.75</v>
      </c>
      <c r="T27" s="96">
        <f t="shared" si="7"/>
        <v>13547.25</v>
      </c>
      <c r="U27"/>
      <c r="V27" s="15">
        <f t="shared" si="18"/>
        <v>25</v>
      </c>
      <c r="W27" s="27">
        <f t="shared" si="1"/>
        <v>1</v>
      </c>
      <c r="X27" s="98">
        <f t="shared" si="20"/>
        <v>2709.4500000000003</v>
      </c>
      <c r="Y27" s="133">
        <f t="shared" si="21"/>
        <v>6773.625</v>
      </c>
      <c r="Z27" s="98">
        <f t="shared" si="22"/>
        <v>4064.1749999999997</v>
      </c>
      <c r="AA27" s="12">
        <f t="shared" si="11"/>
        <v>0</v>
      </c>
      <c r="AB27" s="27">
        <f t="shared" si="2"/>
        <v>0</v>
      </c>
      <c r="AC27" s="96">
        <f t="shared" si="23"/>
        <v>0</v>
      </c>
      <c r="AD27"/>
      <c r="AE27" s="99" t="str">
        <f t="shared" si="13"/>
        <v>0.00</v>
      </c>
      <c r="AF27" s="99" t="str">
        <f t="shared" si="14"/>
        <v>0.00</v>
      </c>
      <c r="AG27" s="99" t="str">
        <f t="shared" si="15"/>
        <v>0.00</v>
      </c>
      <c r="AH27" s="95"/>
      <c r="AI27" s="95"/>
      <c r="AJ27" s="95">
        <f t="shared" si="16"/>
        <v>0</v>
      </c>
      <c r="AK27" s="95">
        <f t="shared" si="24"/>
        <v>4911.75</v>
      </c>
    </row>
    <row r="28" spans="1:37" s="29" customFormat="1" ht="15">
      <c r="A28" s="26" t="s">
        <v>167</v>
      </c>
      <c r="B28" s="182">
        <v>3413</v>
      </c>
      <c r="C28" s="7" t="s">
        <v>34</v>
      </c>
      <c r="D28" s="188" t="s">
        <v>181</v>
      </c>
      <c r="E28" s="188" t="s">
        <v>131</v>
      </c>
      <c r="F28" s="7" t="s">
        <v>0</v>
      </c>
      <c r="G28" t="s">
        <v>36</v>
      </c>
      <c r="H28" t="s">
        <v>186</v>
      </c>
      <c r="I28" s="5">
        <v>3</v>
      </c>
      <c r="J28" s="29">
        <f t="shared" si="25"/>
        <v>25</v>
      </c>
      <c r="K28" s="100">
        <f>Table!$H$7*I28*J28</f>
        <v>18459</v>
      </c>
      <c r="L28" t="s">
        <v>50</v>
      </c>
      <c r="M28" s="29">
        <v>1</v>
      </c>
      <c r="N28" s="101">
        <v>50000</v>
      </c>
      <c r="O28" s="95">
        <f t="shared" si="19"/>
        <v>3750</v>
      </c>
      <c r="P28" s="95">
        <f>O28*Table!$H$1</f>
        <v>1161.75</v>
      </c>
      <c r="Q28" s="95">
        <f t="shared" si="5"/>
        <v>4911.75</v>
      </c>
      <c r="R28" s="95"/>
      <c r="S28" s="95">
        <f t="shared" si="6"/>
        <v>4911.75</v>
      </c>
      <c r="T28" s="96">
        <f t="shared" si="7"/>
        <v>13547.25</v>
      </c>
      <c r="U28"/>
      <c r="V28" s="15">
        <f t="shared" si="18"/>
        <v>25</v>
      </c>
      <c r="W28" s="27">
        <f t="shared" si="1"/>
        <v>1</v>
      </c>
      <c r="X28" s="98">
        <f t="shared" si="20"/>
        <v>2709.4500000000003</v>
      </c>
      <c r="Y28" s="133">
        <f t="shared" si="21"/>
        <v>6773.625</v>
      </c>
      <c r="Z28" s="98">
        <f t="shared" si="22"/>
        <v>4064.1749999999997</v>
      </c>
      <c r="AA28" s="12">
        <f t="shared" si="11"/>
        <v>0</v>
      </c>
      <c r="AB28" s="27">
        <f t="shared" si="2"/>
        <v>0</v>
      </c>
      <c r="AC28" s="96">
        <f t="shared" si="23"/>
        <v>0</v>
      </c>
      <c r="AD28"/>
      <c r="AE28" s="99" t="str">
        <f t="shared" si="13"/>
        <v>0.00</v>
      </c>
      <c r="AF28" s="99" t="str">
        <f t="shared" si="14"/>
        <v>0.00</v>
      </c>
      <c r="AG28" s="99" t="str">
        <f t="shared" si="15"/>
        <v>0.00</v>
      </c>
      <c r="AH28" s="95"/>
      <c r="AI28" s="95"/>
      <c r="AJ28" s="95">
        <f t="shared" si="16"/>
        <v>0</v>
      </c>
      <c r="AK28" s="95">
        <f t="shared" si="24"/>
        <v>4911.75</v>
      </c>
    </row>
    <row r="29" spans="25:37" ht="15">
      <c r="Y29" s="77"/>
      <c r="AE29" s="28"/>
      <c r="AF29" s="28"/>
      <c r="AG29" s="28"/>
      <c r="AH29" s="28"/>
      <c r="AI29" s="28"/>
      <c r="AJ29" s="28"/>
      <c r="AK29" s="28"/>
    </row>
    <row r="30" spans="1:37" s="29" customFormat="1" ht="15">
      <c r="A30" s="56"/>
      <c r="I30" s="57"/>
      <c r="K30" s="58"/>
      <c r="N30" s="59"/>
      <c r="O30" s="60"/>
      <c r="P30" s="60"/>
      <c r="Q30" s="60"/>
      <c r="R30"/>
      <c r="S30"/>
      <c r="T30"/>
      <c r="U30"/>
      <c r="V30"/>
      <c r="W30"/>
      <c r="X30"/>
      <c r="Y30" s="77"/>
      <c r="Z30"/>
      <c r="AA30"/>
      <c r="AB30"/>
      <c r="AC30"/>
      <c r="AD30"/>
      <c r="AE30" s="28"/>
      <c r="AF30" s="28"/>
      <c r="AG30" s="28"/>
      <c r="AH30" s="28"/>
      <c r="AI30" s="28"/>
      <c r="AJ30" s="28"/>
      <c r="AK30" s="28"/>
    </row>
    <row r="31" spans="1:30" s="29" customFormat="1" ht="15">
      <c r="A31" s="56"/>
      <c r="I31" s="57"/>
      <c r="K31" s="58"/>
      <c r="N31" s="59"/>
      <c r="O31" s="60"/>
      <c r="P31" s="60"/>
      <c r="Q31" s="60"/>
      <c r="R31" s="61"/>
      <c r="S31" s="60"/>
      <c r="T31" s="60"/>
      <c r="U31"/>
      <c r="V31" s="60"/>
      <c r="W31" s="62"/>
      <c r="Y31" s="134"/>
      <c r="AD31"/>
    </row>
    <row r="32" spans="1:30" s="29" customFormat="1" ht="15">
      <c r="A32" s="56"/>
      <c r="I32" s="57"/>
      <c r="K32" s="58"/>
      <c r="N32" s="59"/>
      <c r="O32" s="60"/>
      <c r="P32" s="60"/>
      <c r="Q32" s="60"/>
      <c r="R32" s="61"/>
      <c r="S32" s="60"/>
      <c r="T32" s="60"/>
      <c r="U32" s="148"/>
      <c r="V32" s="60"/>
      <c r="W32" s="62"/>
      <c r="Y32" s="134"/>
      <c r="AD32" s="148"/>
    </row>
    <row r="33" spans="1:37" s="29" customFormat="1" ht="15">
      <c r="A33" s="190" t="s">
        <v>182</v>
      </c>
      <c r="B33" s="187"/>
      <c r="C33" s="187"/>
      <c r="I33" s="57"/>
      <c r="J33" s="63"/>
      <c r="K33" s="144"/>
      <c r="L33" s="145"/>
      <c r="M33" s="146"/>
      <c r="N33" s="146"/>
      <c r="O33" s="147"/>
      <c r="P33" s="147"/>
      <c r="Q33" s="147"/>
      <c r="R33" s="147"/>
      <c r="S33" s="147"/>
      <c r="T33" s="144"/>
      <c r="U33" s="148"/>
      <c r="V33" s="149"/>
      <c r="W33" s="150"/>
      <c r="X33" s="151"/>
      <c r="Y33" s="152"/>
      <c r="Z33" s="151"/>
      <c r="AA33" s="149"/>
      <c r="AB33" s="150"/>
      <c r="AC33" s="144"/>
      <c r="AD33" s="148"/>
      <c r="AE33" s="147"/>
      <c r="AF33" s="147"/>
      <c r="AG33" s="147"/>
      <c r="AH33" s="147"/>
      <c r="AI33" s="147"/>
      <c r="AJ33" s="147"/>
      <c r="AK33" s="147"/>
    </row>
    <row r="34" spans="1:30" s="29" customFormat="1" ht="15">
      <c r="A34" s="189" t="s">
        <v>183</v>
      </c>
      <c r="B34" s="188"/>
      <c r="C34" s="188"/>
      <c r="I34" s="57"/>
      <c r="K34" s="58"/>
      <c r="N34" s="59"/>
      <c r="O34" s="60"/>
      <c r="P34" s="60"/>
      <c r="Q34" s="60"/>
      <c r="R34" s="61"/>
      <c r="S34" s="60"/>
      <c r="T34" s="60"/>
      <c r="U34" s="148"/>
      <c r="V34" s="60"/>
      <c r="W34" s="62"/>
      <c r="Y34" s="134"/>
      <c r="AD34" s="148"/>
    </row>
    <row r="35" spans="1:30" s="29" customFormat="1" ht="15">
      <c r="A35" s="56"/>
      <c r="I35" s="57"/>
      <c r="K35" s="58"/>
      <c r="N35" s="59"/>
      <c r="O35" s="60"/>
      <c r="P35" s="60"/>
      <c r="Q35" s="60"/>
      <c r="R35" s="61"/>
      <c r="S35" s="60"/>
      <c r="T35" s="60"/>
      <c r="U35" s="148"/>
      <c r="V35" s="60"/>
      <c r="W35" s="62"/>
      <c r="Y35" s="134"/>
      <c r="AD35" s="148"/>
    </row>
    <row r="36" spans="1:37" s="29" customFormat="1" ht="15">
      <c r="A36" s="56"/>
      <c r="I36" s="57"/>
      <c r="J36" s="153"/>
      <c r="K36" s="144"/>
      <c r="L36" s="145"/>
      <c r="M36" s="146"/>
      <c r="N36" s="146"/>
      <c r="O36" s="147"/>
      <c r="P36" s="147"/>
      <c r="Q36" s="147"/>
      <c r="R36" s="147"/>
      <c r="S36" s="147"/>
      <c r="T36" s="144"/>
      <c r="U36" s="148"/>
      <c r="V36" s="149"/>
      <c r="W36" s="150"/>
      <c r="X36" s="151"/>
      <c r="Y36" s="152"/>
      <c r="Z36" s="151"/>
      <c r="AA36" s="149"/>
      <c r="AB36" s="150"/>
      <c r="AC36" s="144"/>
      <c r="AD36" s="148"/>
      <c r="AE36" s="147"/>
      <c r="AF36" s="147"/>
      <c r="AG36" s="147"/>
      <c r="AH36" s="147"/>
      <c r="AI36" s="147"/>
      <c r="AJ36" s="147"/>
      <c r="AK36" s="147"/>
    </row>
    <row r="37" spans="1:30" s="29" customFormat="1" ht="15">
      <c r="A37" s="56"/>
      <c r="I37" s="57"/>
      <c r="J37" s="119"/>
      <c r="K37" s="58"/>
      <c r="N37" s="59"/>
      <c r="O37" s="60"/>
      <c r="P37" s="60"/>
      <c r="Q37" s="60"/>
      <c r="R37" s="61"/>
      <c r="S37" s="60"/>
      <c r="T37" s="60"/>
      <c r="U37" s="148"/>
      <c r="V37" s="60"/>
      <c r="W37" s="62"/>
      <c r="Y37" s="134"/>
      <c r="AD37" s="148"/>
    </row>
    <row r="38" spans="1:37" s="29" customFormat="1" ht="15">
      <c r="A38" s="56"/>
      <c r="I38" s="57"/>
      <c r="J38" s="153"/>
      <c r="K38" s="144"/>
      <c r="L38" s="145"/>
      <c r="M38" s="146"/>
      <c r="N38" s="146"/>
      <c r="O38" s="147"/>
      <c r="P38" s="147"/>
      <c r="Q38" s="147"/>
      <c r="R38" s="147"/>
      <c r="S38" s="147"/>
      <c r="T38" s="144"/>
      <c r="U38" s="148"/>
      <c r="V38" s="149"/>
      <c r="W38" s="150"/>
      <c r="X38" s="151"/>
      <c r="Y38" s="152"/>
      <c r="Z38" s="151"/>
      <c r="AA38" s="149"/>
      <c r="AB38" s="150"/>
      <c r="AC38" s="144"/>
      <c r="AD38" s="148"/>
      <c r="AE38" s="147"/>
      <c r="AF38" s="147"/>
      <c r="AG38" s="147"/>
      <c r="AH38" s="147"/>
      <c r="AI38" s="147"/>
      <c r="AJ38" s="147"/>
      <c r="AK38" s="147"/>
    </row>
    <row r="39" spans="1:30" s="29" customFormat="1" ht="15">
      <c r="A39" s="56"/>
      <c r="I39" s="57"/>
      <c r="J39" s="119"/>
      <c r="K39" s="58"/>
      <c r="N39" s="59"/>
      <c r="O39" s="60"/>
      <c r="P39" s="60"/>
      <c r="Q39" s="60"/>
      <c r="R39" s="61"/>
      <c r="S39" s="60"/>
      <c r="T39" s="60"/>
      <c r="U39" s="148"/>
      <c r="V39" s="60"/>
      <c r="W39" s="62"/>
      <c r="Y39" s="134"/>
      <c r="AD39" s="148"/>
    </row>
    <row r="40" spans="1:30" s="29" customFormat="1" ht="15">
      <c r="A40" s="56"/>
      <c r="I40" s="57"/>
      <c r="J40" s="119"/>
      <c r="K40" s="58"/>
      <c r="N40" s="59"/>
      <c r="O40" s="60"/>
      <c r="P40" s="60"/>
      <c r="Q40" s="60"/>
      <c r="R40" s="61"/>
      <c r="S40" s="60"/>
      <c r="T40" s="60"/>
      <c r="U40" s="148"/>
      <c r="V40" s="60"/>
      <c r="W40" s="62"/>
      <c r="Y40" s="134"/>
      <c r="AD40" s="148"/>
    </row>
    <row r="41" spans="1:37" s="29" customFormat="1" ht="15">
      <c r="A41" s="56"/>
      <c r="I41" s="57"/>
      <c r="J41" s="153"/>
      <c r="K41" s="144"/>
      <c r="L41" s="145"/>
      <c r="M41" s="146"/>
      <c r="N41" s="146"/>
      <c r="O41" s="147"/>
      <c r="P41" s="147"/>
      <c r="Q41" s="147"/>
      <c r="R41" s="147"/>
      <c r="S41" s="147"/>
      <c r="T41" s="144"/>
      <c r="U41" s="148"/>
      <c r="V41" s="149"/>
      <c r="W41" s="150"/>
      <c r="X41" s="151"/>
      <c r="Y41" s="152"/>
      <c r="Z41" s="151"/>
      <c r="AA41" s="149"/>
      <c r="AB41" s="150"/>
      <c r="AC41" s="144"/>
      <c r="AD41" s="148"/>
      <c r="AE41" s="147"/>
      <c r="AF41" s="147"/>
      <c r="AG41" s="147"/>
      <c r="AH41" s="147"/>
      <c r="AI41" s="147"/>
      <c r="AJ41" s="147"/>
      <c r="AK41" s="147"/>
    </row>
    <row r="42" spans="1:30" s="29" customFormat="1" ht="15">
      <c r="A42" s="56"/>
      <c r="I42" s="57"/>
      <c r="J42" s="119"/>
      <c r="K42" s="58"/>
      <c r="N42" s="59"/>
      <c r="O42" s="60"/>
      <c r="P42" s="60"/>
      <c r="Q42" s="60"/>
      <c r="R42" s="61"/>
      <c r="S42" s="60"/>
      <c r="T42" s="60"/>
      <c r="U42" s="148"/>
      <c r="V42" s="60"/>
      <c r="W42" s="62"/>
      <c r="Y42" s="134"/>
      <c r="AD42" s="148"/>
    </row>
    <row r="43" spans="1:37" s="29" customFormat="1" ht="15">
      <c r="A43" s="56"/>
      <c r="I43" s="57"/>
      <c r="J43" s="153"/>
      <c r="K43" s="144"/>
      <c r="L43" s="145"/>
      <c r="M43" s="146"/>
      <c r="N43" s="146"/>
      <c r="O43" s="147"/>
      <c r="P43" s="147"/>
      <c r="Q43" s="147"/>
      <c r="R43" s="147"/>
      <c r="S43" s="147"/>
      <c r="T43" s="144"/>
      <c r="U43" s="148"/>
      <c r="V43" s="149"/>
      <c r="W43" s="150"/>
      <c r="X43" s="151"/>
      <c r="Y43" s="152"/>
      <c r="Z43" s="151"/>
      <c r="AA43" s="149"/>
      <c r="AB43" s="150"/>
      <c r="AC43" s="144"/>
      <c r="AD43" s="148"/>
      <c r="AE43" s="147"/>
      <c r="AF43" s="147"/>
      <c r="AG43" s="147"/>
      <c r="AH43" s="147"/>
      <c r="AI43" s="147"/>
      <c r="AJ43" s="147"/>
      <c r="AK43" s="147"/>
    </row>
    <row r="44" spans="1:30" s="29" customFormat="1" ht="15">
      <c r="A44" s="56"/>
      <c r="I44" s="57"/>
      <c r="K44" s="58"/>
      <c r="N44" s="59"/>
      <c r="O44" s="60"/>
      <c r="P44" s="60"/>
      <c r="Q44" s="60"/>
      <c r="R44" s="61"/>
      <c r="S44" s="60"/>
      <c r="T44" s="60"/>
      <c r="U44" s="148"/>
      <c r="V44" s="60"/>
      <c r="W44" s="62"/>
      <c r="Y44" s="134"/>
      <c r="AB44" s="63"/>
      <c r="AC44" s="63"/>
      <c r="AD44" s="148"/>
    </row>
    <row r="45" spans="1:30" s="29" customFormat="1" ht="15">
      <c r="A45" s="64"/>
      <c r="C45" s="63"/>
      <c r="F45" s="63"/>
      <c r="I45" s="57"/>
      <c r="K45" s="58"/>
      <c r="N45" s="59"/>
      <c r="O45" s="60"/>
      <c r="P45" s="60"/>
      <c r="Q45" s="60"/>
      <c r="R45" s="61"/>
      <c r="S45" s="60"/>
      <c r="T45" s="60"/>
      <c r="U45" s="148"/>
      <c r="V45" s="60"/>
      <c r="W45" s="62"/>
      <c r="Y45" s="134"/>
      <c r="AD45" s="148"/>
    </row>
    <row r="46" spans="1:37" s="29" customFormat="1" ht="15">
      <c r="A46" s="64"/>
      <c r="C46" s="63"/>
      <c r="F46" s="63"/>
      <c r="I46" s="57"/>
      <c r="J46" s="63"/>
      <c r="K46" s="144"/>
      <c r="L46" s="145"/>
      <c r="M46" s="146"/>
      <c r="N46" s="146"/>
      <c r="O46" s="147"/>
      <c r="P46" s="147"/>
      <c r="Q46" s="147"/>
      <c r="R46" s="147"/>
      <c r="S46" s="147"/>
      <c r="T46" s="144"/>
      <c r="U46" s="148"/>
      <c r="V46" s="149"/>
      <c r="W46" s="150"/>
      <c r="X46" s="151"/>
      <c r="Y46" s="152"/>
      <c r="Z46" s="151"/>
      <c r="AA46" s="149"/>
      <c r="AB46" s="150"/>
      <c r="AC46" s="144"/>
      <c r="AD46" s="148"/>
      <c r="AE46" s="147"/>
      <c r="AF46" s="147"/>
      <c r="AG46" s="147"/>
      <c r="AH46" s="147"/>
      <c r="AI46" s="147"/>
      <c r="AJ46" s="147"/>
      <c r="AK46" s="147"/>
    </row>
    <row r="47" spans="1:30" s="29" customFormat="1" ht="15">
      <c r="A47" s="64"/>
      <c r="C47" s="63"/>
      <c r="F47" s="63"/>
      <c r="I47" s="57"/>
      <c r="K47" s="58"/>
      <c r="N47" s="59"/>
      <c r="O47" s="60"/>
      <c r="P47" s="60"/>
      <c r="Q47" s="60"/>
      <c r="R47" s="61"/>
      <c r="S47" s="60"/>
      <c r="T47" s="60"/>
      <c r="U47" s="148"/>
      <c r="V47" s="60"/>
      <c r="W47" s="62"/>
      <c r="Y47" s="134"/>
      <c r="AD47" s="148"/>
    </row>
    <row r="48" spans="1:37" s="29" customFormat="1" ht="15">
      <c r="A48" s="64"/>
      <c r="C48" s="63"/>
      <c r="F48" s="63"/>
      <c r="I48" s="57"/>
      <c r="J48" s="63"/>
      <c r="K48" s="144"/>
      <c r="L48" s="145"/>
      <c r="M48" s="146"/>
      <c r="N48" s="146"/>
      <c r="O48" s="147"/>
      <c r="P48" s="147"/>
      <c r="Q48" s="147"/>
      <c r="R48" s="147"/>
      <c r="S48" s="147"/>
      <c r="T48" s="144"/>
      <c r="U48" s="148"/>
      <c r="V48" s="149"/>
      <c r="W48" s="150"/>
      <c r="X48" s="151"/>
      <c r="Y48" s="152"/>
      <c r="Z48" s="151"/>
      <c r="AA48" s="149"/>
      <c r="AB48" s="150"/>
      <c r="AC48" s="144"/>
      <c r="AD48" s="148"/>
      <c r="AE48" s="147"/>
      <c r="AF48" s="147"/>
      <c r="AG48" s="147"/>
      <c r="AH48" s="147"/>
      <c r="AI48" s="147"/>
      <c r="AJ48" s="147"/>
      <c r="AK48" s="147"/>
    </row>
    <row r="49" spans="1:30" s="29" customFormat="1" ht="15">
      <c r="A49" s="64"/>
      <c r="C49" s="63"/>
      <c r="F49" s="63"/>
      <c r="I49" s="57"/>
      <c r="K49" s="58"/>
      <c r="N49" s="59"/>
      <c r="O49" s="60"/>
      <c r="P49" s="60"/>
      <c r="Q49" s="60"/>
      <c r="R49" s="61"/>
      <c r="S49" s="60"/>
      <c r="T49" s="60"/>
      <c r="U49" s="148"/>
      <c r="V49" s="60"/>
      <c r="W49" s="62"/>
      <c r="Y49" s="134"/>
      <c r="AD49" s="148"/>
    </row>
    <row r="50" spans="1:37" s="63" customFormat="1" ht="15">
      <c r="A50" s="64"/>
      <c r="B50" s="29"/>
      <c r="D50" s="29"/>
      <c r="E50" s="29"/>
      <c r="G50" s="29"/>
      <c r="H50" s="29"/>
      <c r="I50" s="57"/>
      <c r="J50" s="29"/>
      <c r="K50" s="58"/>
      <c r="L50" s="29"/>
      <c r="M50" s="29"/>
      <c r="N50" s="59"/>
      <c r="O50" s="60"/>
      <c r="P50" s="60"/>
      <c r="Q50" s="60"/>
      <c r="R50" s="61"/>
      <c r="S50" s="60"/>
      <c r="T50" s="60"/>
      <c r="U50" s="148"/>
      <c r="V50" s="60"/>
      <c r="W50" s="62"/>
      <c r="X50" s="29"/>
      <c r="Y50" s="134"/>
      <c r="Z50" s="29"/>
      <c r="AA50" s="29"/>
      <c r="AD50" s="148"/>
      <c r="AE50" s="29"/>
      <c r="AF50" s="29"/>
      <c r="AG50" s="29"/>
      <c r="AH50" s="29"/>
      <c r="AI50" s="29"/>
      <c r="AJ50" s="29"/>
      <c r="AK50" s="29"/>
    </row>
    <row r="51" spans="1:37" s="29" customFormat="1" ht="15">
      <c r="A51" s="64"/>
      <c r="C51" s="63"/>
      <c r="F51" s="63"/>
      <c r="I51" s="57"/>
      <c r="J51" s="63"/>
      <c r="K51" s="144"/>
      <c r="L51" s="145"/>
      <c r="M51" s="146"/>
      <c r="N51" s="146"/>
      <c r="O51" s="147"/>
      <c r="P51" s="147"/>
      <c r="Q51" s="147"/>
      <c r="R51" s="147"/>
      <c r="S51" s="147"/>
      <c r="T51" s="144"/>
      <c r="U51" s="148"/>
      <c r="V51" s="149"/>
      <c r="W51" s="150"/>
      <c r="X51" s="151"/>
      <c r="Y51" s="152"/>
      <c r="Z51" s="151"/>
      <c r="AA51" s="149"/>
      <c r="AB51" s="150"/>
      <c r="AC51" s="144"/>
      <c r="AD51" s="148"/>
      <c r="AE51" s="147"/>
      <c r="AF51" s="147"/>
      <c r="AG51" s="147"/>
      <c r="AH51" s="147"/>
      <c r="AI51" s="147"/>
      <c r="AJ51" s="147"/>
      <c r="AK51" s="147"/>
    </row>
    <row r="52" spans="9:51" ht="15">
      <c r="I52" s="57"/>
      <c r="J52" s="29"/>
      <c r="K52" s="58"/>
      <c r="L52" s="29"/>
      <c r="M52" s="29"/>
      <c r="N52" s="59"/>
      <c r="O52" s="60"/>
      <c r="P52" s="60"/>
      <c r="Q52" s="60"/>
      <c r="R52" s="61"/>
      <c r="S52" s="60"/>
      <c r="T52" s="60"/>
      <c r="U52" s="148"/>
      <c r="V52" s="60"/>
      <c r="W52" s="62"/>
      <c r="X52" s="29"/>
      <c r="Y52" s="134"/>
      <c r="Z52" s="29"/>
      <c r="AA52" s="29"/>
      <c r="AB52" s="29"/>
      <c r="AC52" s="29"/>
      <c r="AD52" s="148"/>
      <c r="AE52" s="29"/>
      <c r="AF52" s="29"/>
      <c r="AG52" s="29"/>
      <c r="AH52" s="29"/>
      <c r="AI52" s="29"/>
      <c r="AJ52" s="29"/>
      <c r="AK52" s="29"/>
      <c r="AL52" s="29"/>
      <c r="AY52" s="7"/>
    </row>
    <row r="53" spans="9:51" ht="15.75" thickBot="1">
      <c r="I53" s="57"/>
      <c r="J53" s="63"/>
      <c r="K53" s="144"/>
      <c r="L53" s="145"/>
      <c r="M53" s="146"/>
      <c r="N53" s="146"/>
      <c r="O53" s="147"/>
      <c r="P53" s="147"/>
      <c r="Q53" s="147"/>
      <c r="R53" s="147"/>
      <c r="S53" s="147"/>
      <c r="T53" s="144"/>
      <c r="U53" s="148"/>
      <c r="V53" s="149"/>
      <c r="W53" s="150"/>
      <c r="X53" s="151"/>
      <c r="Y53" s="154"/>
      <c r="Z53" s="151"/>
      <c r="AA53" s="149"/>
      <c r="AB53" s="150"/>
      <c r="AC53" s="144"/>
      <c r="AD53" s="148"/>
      <c r="AE53" s="147"/>
      <c r="AF53" s="147"/>
      <c r="AG53" s="147"/>
      <c r="AH53" s="147"/>
      <c r="AI53" s="147"/>
      <c r="AJ53" s="147"/>
      <c r="AK53" s="147"/>
      <c r="AL53" s="29"/>
      <c r="AY53" s="7"/>
    </row>
    <row r="54" spans="9:51" ht="15">
      <c r="I54" s="57"/>
      <c r="J54" s="29"/>
      <c r="K54" s="58"/>
      <c r="L54" s="29"/>
      <c r="M54" s="29"/>
      <c r="N54" s="29"/>
      <c r="O54" s="60"/>
      <c r="P54" s="60"/>
      <c r="Q54" s="60"/>
      <c r="R54" s="61"/>
      <c r="S54" s="60"/>
      <c r="T54" s="60"/>
      <c r="U54" s="60"/>
      <c r="V54" s="60"/>
      <c r="W54" s="62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Y54" s="7"/>
    </row>
    <row r="55" spans="9:51" ht="15">
      <c r="I55" s="57"/>
      <c r="J55" s="29"/>
      <c r="K55" s="58"/>
      <c r="L55" s="29"/>
      <c r="M55" s="29"/>
      <c r="N55" s="29"/>
      <c r="O55" s="60"/>
      <c r="P55" s="60"/>
      <c r="Q55" s="60"/>
      <c r="R55" s="61"/>
      <c r="S55" s="60"/>
      <c r="T55" s="60"/>
      <c r="U55" s="60"/>
      <c r="V55" s="60"/>
      <c r="W55" s="62"/>
      <c r="X55" s="29"/>
      <c r="Y55" s="29"/>
      <c r="Z55" s="29"/>
      <c r="AA55" s="29"/>
      <c r="AB55" s="63"/>
      <c r="AC55" s="63"/>
      <c r="AD55" s="63"/>
      <c r="AE55" s="29"/>
      <c r="AF55" s="29"/>
      <c r="AG55" s="29"/>
      <c r="AH55" s="29"/>
      <c r="AI55" s="29"/>
      <c r="AJ55" s="29"/>
      <c r="AK55" s="29"/>
      <c r="AL55" s="29"/>
      <c r="AY55" s="7"/>
    </row>
    <row r="56" spans="9:51" ht="15">
      <c r="I56" s="57"/>
      <c r="J56" s="29"/>
      <c r="K56" s="58"/>
      <c r="L56" s="29"/>
      <c r="M56" s="29"/>
      <c r="N56" s="29"/>
      <c r="O56" s="60"/>
      <c r="P56" s="60"/>
      <c r="Q56" s="60"/>
      <c r="R56" s="61"/>
      <c r="S56" s="60"/>
      <c r="T56" s="60"/>
      <c r="U56" s="60"/>
      <c r="V56" s="60"/>
      <c r="W56" s="62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Y56" s="7"/>
    </row>
    <row r="57" spans="9:51" ht="15">
      <c r="I57" s="57"/>
      <c r="J57" s="29"/>
      <c r="K57" s="58"/>
      <c r="L57" s="29"/>
      <c r="M57" s="29"/>
      <c r="N57" s="29"/>
      <c r="O57" s="60"/>
      <c r="P57" s="60"/>
      <c r="Q57" s="60"/>
      <c r="R57" s="61"/>
      <c r="S57" s="60"/>
      <c r="T57" s="60"/>
      <c r="U57" s="60"/>
      <c r="V57" s="60"/>
      <c r="W57" s="62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Y57" s="7"/>
    </row>
    <row r="58" spans="9:51" ht="15">
      <c r="I58" s="57"/>
      <c r="J58" s="29"/>
      <c r="K58" s="58"/>
      <c r="L58" s="29"/>
      <c r="M58" s="29"/>
      <c r="N58" s="29"/>
      <c r="O58" s="60"/>
      <c r="P58" s="60"/>
      <c r="Q58" s="60"/>
      <c r="R58" s="61"/>
      <c r="S58" s="60"/>
      <c r="T58" s="60"/>
      <c r="U58" s="60"/>
      <c r="V58" s="60"/>
      <c r="W58" s="62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Y58" s="7"/>
    </row>
    <row r="59" spans="2:38" s="9" customFormat="1" ht="15">
      <c r="B59" s="65"/>
      <c r="C59" s="65"/>
      <c r="I59" s="157"/>
      <c r="J59" s="63"/>
      <c r="K59" s="58"/>
      <c r="L59" s="63"/>
      <c r="M59" s="63"/>
      <c r="N59" s="63"/>
      <c r="O59" s="60"/>
      <c r="P59" s="60"/>
      <c r="Q59" s="60"/>
      <c r="R59" s="61"/>
      <c r="S59" s="60"/>
      <c r="T59" s="60"/>
      <c r="U59" s="60"/>
      <c r="V59" s="60"/>
      <c r="W59" s="62"/>
      <c r="X59" s="63"/>
      <c r="Y59" s="63"/>
      <c r="Z59" s="63"/>
      <c r="AA59" s="63"/>
      <c r="AB59" s="29"/>
      <c r="AC59" s="29"/>
      <c r="AD59" s="29"/>
      <c r="AE59" s="63"/>
      <c r="AF59" s="63"/>
      <c r="AG59" s="63"/>
      <c r="AH59" s="63"/>
      <c r="AI59" s="63"/>
      <c r="AJ59" s="63"/>
      <c r="AK59" s="63"/>
      <c r="AL59" s="63"/>
    </row>
    <row r="60" spans="9:51" ht="15">
      <c r="I60" s="57"/>
      <c r="J60" s="29"/>
      <c r="K60" s="58"/>
      <c r="L60" s="29"/>
      <c r="M60" s="29"/>
      <c r="N60" s="29"/>
      <c r="O60" s="60"/>
      <c r="P60" s="60"/>
      <c r="Q60" s="60"/>
      <c r="R60" s="61"/>
      <c r="S60" s="60"/>
      <c r="T60" s="60"/>
      <c r="U60" s="60"/>
      <c r="V60" s="60"/>
      <c r="W60" s="62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Y60" s="7"/>
    </row>
    <row r="61" spans="9:51" ht="15">
      <c r="I61" s="57"/>
      <c r="J61" s="29"/>
      <c r="K61" s="29"/>
      <c r="L61" s="29"/>
      <c r="M61" s="29"/>
      <c r="N61" s="29"/>
      <c r="O61" s="29"/>
      <c r="P61" s="29"/>
      <c r="Q61" s="29"/>
      <c r="R61" s="158"/>
      <c r="S61" s="29"/>
      <c r="T61" s="29"/>
      <c r="U61" s="29"/>
      <c r="V61" s="29"/>
      <c r="W61" s="15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Y61" s="7"/>
    </row>
    <row r="62" spans="9:51" ht="15">
      <c r="I62" s="57"/>
      <c r="J62" s="29"/>
      <c r="K62" s="29"/>
      <c r="L62" s="29"/>
      <c r="M62" s="29"/>
      <c r="N62" s="29"/>
      <c r="O62" s="29"/>
      <c r="P62" s="29"/>
      <c r="Q62" s="29"/>
      <c r="R62" s="158"/>
      <c r="S62" s="29"/>
      <c r="T62" s="29"/>
      <c r="U62" s="29"/>
      <c r="V62" s="29"/>
      <c r="W62" s="15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Y62" s="7"/>
    </row>
    <row r="63" spans="9:51" ht="15">
      <c r="I63" s="57"/>
      <c r="J63" s="29"/>
      <c r="K63" s="29"/>
      <c r="L63" s="29"/>
      <c r="M63" s="29"/>
      <c r="N63" s="29"/>
      <c r="O63" s="29"/>
      <c r="P63" s="29"/>
      <c r="Q63" s="29"/>
      <c r="R63" s="158"/>
      <c r="S63" s="29"/>
      <c r="T63" s="29"/>
      <c r="U63" s="29"/>
      <c r="V63" s="29"/>
      <c r="W63" s="15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Y63" s="7"/>
    </row>
    <row r="64" spans="9:51" ht="15">
      <c r="I64" s="57"/>
      <c r="J64" s="29"/>
      <c r="K64" s="29"/>
      <c r="L64" s="29"/>
      <c r="M64" s="29"/>
      <c r="N64" s="29"/>
      <c r="O64" s="29"/>
      <c r="P64" s="29"/>
      <c r="Q64" s="29"/>
      <c r="R64" s="158"/>
      <c r="S64" s="29"/>
      <c r="T64" s="29"/>
      <c r="U64" s="29"/>
      <c r="V64" s="29"/>
      <c r="W64" s="15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Y64" s="7"/>
    </row>
    <row r="65" spans="9:51" ht="15">
      <c r="I65" s="57"/>
      <c r="J65" s="29"/>
      <c r="K65" s="29"/>
      <c r="L65" s="29"/>
      <c r="M65" s="29"/>
      <c r="N65" s="29"/>
      <c r="O65" s="29"/>
      <c r="P65" s="29"/>
      <c r="Q65" s="29"/>
      <c r="R65" s="158"/>
      <c r="S65" s="29"/>
      <c r="T65" s="29"/>
      <c r="U65" s="29"/>
      <c r="V65" s="29"/>
      <c r="W65" s="15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Y65" s="7"/>
    </row>
    <row r="66" spans="9:51" ht="15">
      <c r="I66" s="57"/>
      <c r="J66" s="29"/>
      <c r="K66" s="29"/>
      <c r="L66" s="29"/>
      <c r="M66" s="29"/>
      <c r="N66" s="29"/>
      <c r="O66" s="29"/>
      <c r="P66" s="29"/>
      <c r="Q66" s="29"/>
      <c r="R66" s="158"/>
      <c r="S66" s="29"/>
      <c r="T66" s="29"/>
      <c r="U66" s="29"/>
      <c r="V66" s="29"/>
      <c r="W66" s="15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Y66" s="7"/>
    </row>
    <row r="67" spans="13:51" ht="15">
      <c r="M67" s="7"/>
      <c r="N67" s="7"/>
      <c r="AE67" s="7"/>
      <c r="AF67" s="7"/>
      <c r="AG67" s="7"/>
      <c r="AH67" s="7"/>
      <c r="AY67" s="7"/>
    </row>
    <row r="68" spans="13:51" ht="15">
      <c r="M68" s="7"/>
      <c r="N68" s="7"/>
      <c r="AE68" s="7"/>
      <c r="AF68" s="7"/>
      <c r="AG68" s="7"/>
      <c r="AH68" s="7"/>
      <c r="AY68" s="7"/>
    </row>
    <row r="69" spans="13:51" ht="15">
      <c r="M69" s="7"/>
      <c r="N69" s="7"/>
      <c r="AE69" s="7"/>
      <c r="AF69" s="7"/>
      <c r="AG69" s="7"/>
      <c r="AH69" s="7"/>
      <c r="AY69" s="7"/>
    </row>
    <row r="70" spans="13:51" ht="15">
      <c r="M70" s="7"/>
      <c r="N70" s="7"/>
      <c r="AE70" s="7"/>
      <c r="AF70" s="7"/>
      <c r="AG70" s="7"/>
      <c r="AH70" s="7"/>
      <c r="AY70" s="7"/>
    </row>
    <row r="71" spans="13:51" ht="15">
      <c r="M71" s="7"/>
      <c r="N71" s="7"/>
      <c r="AE71" s="7"/>
      <c r="AF71" s="7"/>
      <c r="AG71" s="7"/>
      <c r="AH71" s="7"/>
      <c r="AY71" s="7"/>
    </row>
    <row r="72" spans="13:51" ht="15">
      <c r="M72" s="7"/>
      <c r="N72" s="7"/>
      <c r="AE72" s="7"/>
      <c r="AF72" s="7"/>
      <c r="AG72" s="7"/>
      <c r="AH72" s="7"/>
      <c r="AY72" s="7"/>
    </row>
    <row r="73" spans="13:51" ht="15">
      <c r="M73" s="7"/>
      <c r="N73" s="7"/>
      <c r="AE73" s="7"/>
      <c r="AF73" s="7"/>
      <c r="AG73" s="7"/>
      <c r="AH73" s="7"/>
      <c r="AY73" s="7"/>
    </row>
    <row r="74" spans="13:51" ht="15">
      <c r="M74" s="7"/>
      <c r="N74" s="7"/>
      <c r="AE74" s="7"/>
      <c r="AF74" s="7"/>
      <c r="AG74" s="7"/>
      <c r="AH74" s="7"/>
      <c r="AY74" s="7"/>
    </row>
    <row r="75" spans="13:51" ht="15">
      <c r="M75" s="7"/>
      <c r="N75" s="7"/>
      <c r="AE75" s="7"/>
      <c r="AF75" s="7"/>
      <c r="AG75" s="7"/>
      <c r="AH75" s="7"/>
      <c r="AY75" s="7"/>
    </row>
    <row r="76" spans="13:51" ht="15">
      <c r="M76" s="7"/>
      <c r="N76" s="7"/>
      <c r="AE76" s="7"/>
      <c r="AF76" s="7"/>
      <c r="AG76" s="7"/>
      <c r="AH76" s="7"/>
      <c r="AY76" s="7"/>
    </row>
    <row r="77" spans="13:51" ht="15">
      <c r="M77" s="7"/>
      <c r="N77" s="7"/>
      <c r="AE77" s="7"/>
      <c r="AF77" s="7"/>
      <c r="AG77" s="7"/>
      <c r="AH77" s="7"/>
      <c r="AY77" s="7"/>
    </row>
    <row r="78" spans="13:51" ht="15">
      <c r="M78" s="7"/>
      <c r="N78" s="7"/>
      <c r="AE78" s="7"/>
      <c r="AF78" s="7"/>
      <c r="AG78" s="7"/>
      <c r="AH78" s="7"/>
      <c r="AY78" s="7"/>
    </row>
    <row r="79" spans="13:51" ht="15">
      <c r="M79" s="7"/>
      <c r="N79" s="7"/>
      <c r="AE79" s="7"/>
      <c r="AF79" s="7"/>
      <c r="AG79" s="7"/>
      <c r="AH79" s="7"/>
      <c r="AY79" s="7"/>
    </row>
  </sheetData>
  <mergeCells count="16">
    <mergeCell ref="A1:I1"/>
    <mergeCell ref="A2:I2"/>
    <mergeCell ref="A3:I3"/>
    <mergeCell ref="H6:I6"/>
    <mergeCell ref="H8:I8"/>
    <mergeCell ref="AT10:AW10"/>
    <mergeCell ref="V8:AC8"/>
    <mergeCell ref="AE8:AH8"/>
    <mergeCell ref="AJ8:AJ9"/>
    <mergeCell ref="A9:N9"/>
    <mergeCell ref="O9:S9"/>
    <mergeCell ref="V9:W9"/>
    <mergeCell ref="AA9:AC9"/>
    <mergeCell ref="AE9:AG9"/>
    <mergeCell ref="AH9:AI9"/>
    <mergeCell ref="O8:T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79"/>
  <sheetViews>
    <sheetView workbookViewId="0" topLeftCell="E1">
      <selection activeCell="A9" sqref="A9:N9"/>
    </sheetView>
  </sheetViews>
  <sheetFormatPr defaultColWidth="9.140625" defaultRowHeight="15"/>
  <cols>
    <col min="1" max="1" width="13.140625" style="7" customWidth="1"/>
    <col min="2" max="2" width="9.28125" style="49" customWidth="1"/>
    <col min="3" max="3" width="11.28125" style="49" customWidth="1"/>
    <col min="4" max="4" width="34.7109375" style="7" customWidth="1"/>
    <col min="5" max="5" width="17.00390625" style="7" bestFit="1" customWidth="1"/>
    <col min="6" max="7" width="9.140625" style="7" customWidth="1"/>
    <col min="8" max="8" width="34.28125" style="7" bestFit="1" customWidth="1"/>
    <col min="9" max="9" width="9.140625" style="49" customWidth="1"/>
    <col min="10" max="10" width="11.28125" style="7" customWidth="1"/>
    <col min="11" max="11" width="12.57421875" style="7" bestFit="1" customWidth="1"/>
    <col min="12" max="12" width="12.57421875" style="7" customWidth="1"/>
    <col min="13" max="13" width="10.28125" style="6" customWidth="1"/>
    <col min="14" max="14" width="11.57421875" style="6" bestFit="1" customWidth="1"/>
    <col min="15" max="16" width="11.57421875" style="7" bestFit="1" customWidth="1"/>
    <col min="17" max="17" width="15.00390625" style="7" customWidth="1"/>
    <col min="18" max="18" width="12.421875" style="36" bestFit="1" customWidth="1"/>
    <col min="19" max="19" width="14.8515625" style="7" bestFit="1" customWidth="1"/>
    <col min="20" max="20" width="15.00390625" style="7" customWidth="1"/>
    <col min="21" max="21" width="4.421875" style="7" customWidth="1"/>
    <col min="22" max="22" width="11.57421875" style="7" bestFit="1" customWidth="1"/>
    <col min="23" max="23" width="11.28125" style="50" bestFit="1" customWidth="1"/>
    <col min="24" max="24" width="15.00390625" style="7" bestFit="1" customWidth="1"/>
    <col min="25" max="26" width="11.57421875" style="7" bestFit="1" customWidth="1"/>
    <col min="27" max="27" width="10.57421875" style="7" bestFit="1" customWidth="1"/>
    <col min="28" max="28" width="8.8515625" style="7" bestFit="1" customWidth="1"/>
    <col min="29" max="29" width="11.57421875" style="7" bestFit="1" customWidth="1"/>
    <col min="30" max="30" width="4.421875" style="7" customWidth="1"/>
    <col min="31" max="31" width="11.57421875" style="66" bestFit="1" customWidth="1"/>
    <col min="32" max="32" width="11.57421875" style="36" bestFit="1" customWidth="1"/>
    <col min="33" max="33" width="11.57421875" style="66" bestFit="1" customWidth="1"/>
    <col min="34" max="34" width="11.8515625" style="66" customWidth="1"/>
    <col min="35" max="35" width="15.28125" style="7" bestFit="1" customWidth="1"/>
    <col min="36" max="36" width="11.8515625" style="7" customWidth="1"/>
    <col min="37" max="37" width="16.57421875" style="7" bestFit="1" customWidth="1"/>
    <col min="38" max="46" width="11.8515625" style="7" customWidth="1"/>
    <col min="47" max="50" width="9.140625" style="7" customWidth="1"/>
    <col min="51" max="51" width="9.140625" style="37" customWidth="1"/>
    <col min="52" max="16384" width="9.140625" style="7" customWidth="1"/>
  </cols>
  <sheetData>
    <row r="1" spans="1:50" ht="15.75">
      <c r="A1" s="217" t="s">
        <v>52</v>
      </c>
      <c r="B1" s="217"/>
      <c r="C1" s="217"/>
      <c r="D1" s="217"/>
      <c r="E1" s="217"/>
      <c r="F1" s="217"/>
      <c r="G1" s="217"/>
      <c r="H1" s="217"/>
      <c r="I1" s="217"/>
      <c r="Z1" s="1"/>
      <c r="AA1" s="1"/>
      <c r="AE1" s="3"/>
      <c r="AF1" s="2"/>
      <c r="AG1" s="3"/>
      <c r="AH1" s="3"/>
      <c r="AJ1" s="1"/>
      <c r="AK1" s="1"/>
      <c r="AL1" s="1"/>
      <c r="AM1" s="1"/>
      <c r="AN1" s="1"/>
      <c r="AO1" s="1"/>
      <c r="AP1" s="1"/>
      <c r="AQ1" s="1"/>
      <c r="AR1" s="4"/>
      <c r="AS1" s="4"/>
      <c r="AT1" s="4"/>
      <c r="AV1" s="36"/>
      <c r="AW1" s="36"/>
      <c r="AX1" s="36"/>
    </row>
    <row r="2" spans="1:50" ht="15.75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Z2" s="1"/>
      <c r="AA2" s="1"/>
      <c r="AE2" s="3"/>
      <c r="AF2" s="2"/>
      <c r="AG2" s="3"/>
      <c r="AH2" s="3"/>
      <c r="AJ2" s="1"/>
      <c r="AK2" s="1"/>
      <c r="AL2" s="1"/>
      <c r="AM2" s="1"/>
      <c r="AN2" s="1"/>
      <c r="AO2" s="1"/>
      <c r="AP2" s="1"/>
      <c r="AQ2" s="1"/>
      <c r="AR2" s="4"/>
      <c r="AS2" s="4"/>
      <c r="AT2" s="4"/>
      <c r="AV2" s="36"/>
      <c r="AW2" s="36"/>
      <c r="AX2" s="36"/>
    </row>
    <row r="3" spans="1:50" ht="18.75">
      <c r="A3" s="225"/>
      <c r="B3" s="225"/>
      <c r="C3" s="225"/>
      <c r="D3" s="225"/>
      <c r="E3" s="225"/>
      <c r="F3" s="225"/>
      <c r="G3" s="225"/>
      <c r="H3" s="225"/>
      <c r="I3" s="225"/>
      <c r="Z3" s="1"/>
      <c r="AA3" s="1"/>
      <c r="AE3" s="3"/>
      <c r="AF3" s="2"/>
      <c r="AG3" s="3"/>
      <c r="AH3" s="3"/>
      <c r="AJ3" s="1"/>
      <c r="AK3" s="1"/>
      <c r="AL3" s="1"/>
      <c r="AM3" s="1"/>
      <c r="AN3" s="1"/>
      <c r="AO3" s="1"/>
      <c r="AP3" s="1"/>
      <c r="AQ3" s="1"/>
      <c r="AR3" s="40"/>
      <c r="AS3" s="40"/>
      <c r="AT3" s="40"/>
      <c r="AV3" s="36"/>
      <c r="AW3" s="36"/>
      <c r="AX3" s="36"/>
    </row>
    <row r="4" spans="1:50" ht="15.75">
      <c r="A4" s="181"/>
      <c r="B4" s="181"/>
      <c r="C4" s="181"/>
      <c r="D4" s="181"/>
      <c r="E4" s="181"/>
      <c r="F4" s="181"/>
      <c r="G4" s="181"/>
      <c r="H4" s="181"/>
      <c r="I4" s="181"/>
      <c r="Z4" s="1"/>
      <c r="AA4" s="1"/>
      <c r="AE4" s="3"/>
      <c r="AF4" s="2"/>
      <c r="AG4" s="3"/>
      <c r="AH4" s="3"/>
      <c r="AJ4" s="1"/>
      <c r="AK4" s="1"/>
      <c r="AL4" s="1"/>
      <c r="AM4" s="1"/>
      <c r="AN4" s="1"/>
      <c r="AO4" s="1"/>
      <c r="AP4" s="1"/>
      <c r="AQ4" s="1"/>
      <c r="AR4" s="40"/>
      <c r="AS4" s="40"/>
      <c r="AT4" s="40"/>
      <c r="AV4" s="36"/>
      <c r="AW4" s="36"/>
      <c r="AX4" s="36"/>
    </row>
    <row r="5" spans="1:50" ht="15.75">
      <c r="A5" s="30"/>
      <c r="B5" s="46"/>
      <c r="C5" s="46"/>
      <c r="D5" s="1"/>
      <c r="E5" s="1"/>
      <c r="F5" s="1"/>
      <c r="G5" s="1"/>
      <c r="H5" s="1"/>
      <c r="I5" s="46"/>
      <c r="J5" s="1"/>
      <c r="K5" s="4"/>
      <c r="L5" s="4"/>
      <c r="M5" s="10"/>
      <c r="N5" s="10"/>
      <c r="O5" s="4"/>
      <c r="P5" s="1"/>
      <c r="Q5" s="1"/>
      <c r="R5" s="2"/>
      <c r="S5" s="1"/>
      <c r="T5" s="1"/>
      <c r="U5" s="1"/>
      <c r="V5" s="1"/>
      <c r="W5" s="33"/>
      <c r="X5" s="1"/>
      <c r="Y5" s="1"/>
      <c r="Z5" s="1"/>
      <c r="AE5" s="7"/>
      <c r="AF5" s="7"/>
      <c r="AG5" s="7"/>
      <c r="AH5" s="7"/>
      <c r="AV5" s="36"/>
      <c r="AW5" s="36"/>
      <c r="AX5" s="36"/>
    </row>
    <row r="6" spans="8:51" ht="15.75" customHeight="1">
      <c r="H6" s="245"/>
      <c r="I6" s="245"/>
      <c r="J6" s="192"/>
      <c r="K6" s="4"/>
      <c r="L6" s="10"/>
      <c r="M6" s="10"/>
      <c r="N6" s="4"/>
      <c r="O6" s="1"/>
      <c r="P6" s="1"/>
      <c r="Q6" s="2"/>
      <c r="R6" s="1"/>
      <c r="S6" s="1"/>
      <c r="T6" s="1"/>
      <c r="U6" s="1"/>
      <c r="V6" s="33"/>
      <c r="W6" s="1"/>
      <c r="X6" s="1"/>
      <c r="Y6" s="1"/>
      <c r="AA6"/>
      <c r="AB6"/>
      <c r="AC6"/>
      <c r="AE6" s="7"/>
      <c r="AF6" s="7"/>
      <c r="AG6" s="7"/>
      <c r="AH6" s="7"/>
      <c r="AU6" s="36"/>
      <c r="AV6" s="36"/>
      <c r="AW6" s="36"/>
      <c r="AX6" s="37"/>
      <c r="AY6" s="7"/>
    </row>
    <row r="7" spans="10:50" ht="16.5" thickBot="1">
      <c r="J7" s="1"/>
      <c r="K7"/>
      <c r="L7" s="4"/>
      <c r="M7" s="10"/>
      <c r="N7" s="10"/>
      <c r="O7" s="4"/>
      <c r="P7" s="1"/>
      <c r="Q7" s="1"/>
      <c r="R7" s="2"/>
      <c r="S7" s="1"/>
      <c r="T7" s="1"/>
      <c r="U7" s="1"/>
      <c r="V7" s="1"/>
      <c r="W7" s="33"/>
      <c r="X7" s="1"/>
      <c r="Y7" s="1"/>
      <c r="Z7" s="1"/>
      <c r="AB7"/>
      <c r="AC7"/>
      <c r="AD7"/>
      <c r="AE7" s="7"/>
      <c r="AF7" s="7"/>
      <c r="AG7" s="7"/>
      <c r="AH7" s="7"/>
      <c r="AV7" s="36"/>
      <c r="AW7" s="36"/>
      <c r="AX7" s="36"/>
    </row>
    <row r="8" spans="8:50" ht="15" customHeight="1" thickBot="1">
      <c r="H8" s="235" t="s">
        <v>79</v>
      </c>
      <c r="I8" s="236"/>
      <c r="J8" s="85">
        <v>40</v>
      </c>
      <c r="K8"/>
      <c r="O8" s="231"/>
      <c r="P8" s="231"/>
      <c r="Q8" s="231"/>
      <c r="R8" s="231"/>
      <c r="S8" s="231"/>
      <c r="T8" s="231"/>
      <c r="U8"/>
      <c r="V8" s="230"/>
      <c r="W8" s="230"/>
      <c r="X8" s="230"/>
      <c r="Y8" s="230"/>
      <c r="Z8" s="230"/>
      <c r="AA8" s="230"/>
      <c r="AB8" s="230"/>
      <c r="AC8" s="230"/>
      <c r="AD8"/>
      <c r="AE8" s="241" t="s">
        <v>2</v>
      </c>
      <c r="AF8" s="241"/>
      <c r="AG8" s="241"/>
      <c r="AH8" s="241"/>
      <c r="AI8" s="13" t="s">
        <v>3</v>
      </c>
      <c r="AJ8" s="220"/>
      <c r="AK8" s="14" t="s">
        <v>4</v>
      </c>
      <c r="AV8" s="36"/>
      <c r="AW8" s="36"/>
      <c r="AX8" s="36"/>
    </row>
    <row r="9" spans="1:51" s="68" customFormat="1" ht="33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232" t="s">
        <v>5</v>
      </c>
      <c r="P9" s="233"/>
      <c r="Q9" s="233"/>
      <c r="R9" s="233"/>
      <c r="S9" s="234"/>
      <c r="T9" s="69"/>
      <c r="U9" s="110"/>
      <c r="V9" s="226"/>
      <c r="W9" s="227"/>
      <c r="X9" s="126">
        <v>0.2</v>
      </c>
      <c r="Y9" s="130">
        <v>0.5</v>
      </c>
      <c r="Z9" s="128">
        <v>0.3</v>
      </c>
      <c r="AA9" s="222"/>
      <c r="AB9" s="223"/>
      <c r="AC9" s="223"/>
      <c r="AD9" s="110"/>
      <c r="AE9" s="242" t="s">
        <v>6</v>
      </c>
      <c r="AF9" s="243"/>
      <c r="AG9" s="244"/>
      <c r="AH9" s="242" t="s">
        <v>7</v>
      </c>
      <c r="AI9" s="244"/>
      <c r="AJ9" s="221"/>
      <c r="AK9" s="70" t="s">
        <v>8</v>
      </c>
      <c r="AV9" s="71"/>
      <c r="AW9" s="71"/>
      <c r="AX9" s="71"/>
      <c r="AY9" s="72"/>
    </row>
    <row r="10" spans="1:49" s="6" customFormat="1" ht="50.1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191</v>
      </c>
      <c r="F10" s="16" t="s">
        <v>13</v>
      </c>
      <c r="G10" s="74" t="s">
        <v>14</v>
      </c>
      <c r="H10" s="74" t="s">
        <v>15</v>
      </c>
      <c r="I10" s="89" t="s">
        <v>16</v>
      </c>
      <c r="J10" s="16" t="s">
        <v>1</v>
      </c>
      <c r="K10" s="74" t="s">
        <v>67</v>
      </c>
      <c r="L10" s="74" t="s">
        <v>184</v>
      </c>
      <c r="M10" s="51" t="s">
        <v>69</v>
      </c>
      <c r="N10" s="51" t="s">
        <v>190</v>
      </c>
      <c r="O10" s="73" t="s">
        <v>18</v>
      </c>
      <c r="P10" s="73" t="s">
        <v>19</v>
      </c>
      <c r="Q10" s="73" t="s">
        <v>20</v>
      </c>
      <c r="R10" s="18" t="s">
        <v>21</v>
      </c>
      <c r="S10" s="18" t="s">
        <v>22</v>
      </c>
      <c r="T10" s="19" t="s">
        <v>23</v>
      </c>
      <c r="U10" s="110"/>
      <c r="V10" s="20" t="s">
        <v>24</v>
      </c>
      <c r="W10" s="21" t="s">
        <v>25</v>
      </c>
      <c r="X10" s="127" t="s">
        <v>26</v>
      </c>
      <c r="Y10" s="131" t="s">
        <v>27</v>
      </c>
      <c r="Z10" s="129" t="s">
        <v>4</v>
      </c>
      <c r="AA10" s="20" t="s">
        <v>28</v>
      </c>
      <c r="AB10" s="22" t="s">
        <v>29</v>
      </c>
      <c r="AC10" s="23" t="s">
        <v>30</v>
      </c>
      <c r="AD10" s="110"/>
      <c r="AE10" s="17" t="s">
        <v>18</v>
      </c>
      <c r="AF10" s="17" t="s">
        <v>19</v>
      </c>
      <c r="AG10" s="17" t="s">
        <v>20</v>
      </c>
      <c r="AH10" s="17" t="s">
        <v>21</v>
      </c>
      <c r="AI10" s="17" t="s">
        <v>31</v>
      </c>
      <c r="AJ10" s="17" t="s">
        <v>22</v>
      </c>
      <c r="AK10" s="17" t="s">
        <v>32</v>
      </c>
      <c r="AT10" s="240"/>
      <c r="AU10" s="240"/>
      <c r="AV10" s="240"/>
      <c r="AW10" s="240"/>
    </row>
    <row r="11" spans="1:49" s="9" customFormat="1" ht="15" customHeight="1">
      <c r="A11" s="52"/>
      <c r="B11" s="67"/>
      <c r="C11" s="53"/>
      <c r="D11" s="52"/>
      <c r="E11" s="52"/>
      <c r="F11" s="52"/>
      <c r="G11" s="87"/>
      <c r="H11" s="191"/>
      <c r="I11" s="88"/>
      <c r="J11" s="52">
        <f>SUM(J12:J17)</f>
        <v>240</v>
      </c>
      <c r="K11" s="94">
        <f>SUM(K12:K17)</f>
        <v>177206.4</v>
      </c>
      <c r="L11" s="55"/>
      <c r="M11" s="54"/>
      <c r="N11" s="54"/>
      <c r="O11" s="93">
        <f aca="true" t="shared" si="0" ref="O11:T11">SUM(O12:O17)</f>
        <v>31750</v>
      </c>
      <c r="P11" s="93">
        <f t="shared" si="0"/>
        <v>9836.150000000001</v>
      </c>
      <c r="Q11" s="93">
        <f t="shared" si="0"/>
        <v>41586.15</v>
      </c>
      <c r="R11" s="93">
        <f t="shared" si="0"/>
        <v>0</v>
      </c>
      <c r="S11" s="93">
        <f t="shared" si="0"/>
        <v>41586.15</v>
      </c>
      <c r="T11" s="94">
        <f t="shared" si="0"/>
        <v>135620.25000000003</v>
      </c>
      <c r="U11"/>
      <c r="V11" s="24">
        <f>SUM(V12:V17)</f>
        <v>240</v>
      </c>
      <c r="W11" s="25">
        <f aca="true" t="shared" si="1" ref="W11:W28">V11/J11</f>
        <v>1</v>
      </c>
      <c r="X11" s="97">
        <f>SUM(X12:X17)</f>
        <v>27124.050000000003</v>
      </c>
      <c r="Y11" s="132">
        <f>SUM(Y12:Y17)</f>
        <v>67810.12500000001</v>
      </c>
      <c r="Z11" s="97">
        <f>SUM(Z12:Z17)</f>
        <v>40686.075</v>
      </c>
      <c r="AA11" s="24">
        <f>SUM(AA12:AA17)</f>
        <v>0</v>
      </c>
      <c r="AB11" s="25">
        <f aca="true" t="shared" si="2" ref="AB11:AB28">AA11/J11</f>
        <v>0</v>
      </c>
      <c r="AC11" s="94">
        <f>SUM(AC12:AC17)</f>
        <v>0</v>
      </c>
      <c r="AD11"/>
      <c r="AE11" s="93">
        <f>SUM(AE12:AE17)</f>
        <v>31750</v>
      </c>
      <c r="AF11" s="93">
        <f>SUM(AF12:AF17)</f>
        <v>9836.150000000001</v>
      </c>
      <c r="AG11" s="93">
        <f>SUM(AG12:AG17)</f>
        <v>41586.15</v>
      </c>
      <c r="AH11" s="93">
        <f aca="true" t="shared" si="3" ref="AH11:AI11">SUM(AH12:AH17)</f>
        <v>0</v>
      </c>
      <c r="AI11" s="93">
        <f t="shared" si="3"/>
        <v>0</v>
      </c>
      <c r="AJ11" s="93">
        <f>SUM(AJ12:AJ17)</f>
        <v>41586.15</v>
      </c>
      <c r="AK11" s="93">
        <f>SUM(AK12:AK17)</f>
        <v>0</v>
      </c>
      <c r="AL11" s="7"/>
      <c r="AM11" s="7"/>
      <c r="AN11" s="7"/>
      <c r="AO11" s="7"/>
      <c r="AP11" s="7"/>
      <c r="AQ11" s="7"/>
      <c r="AR11" s="7"/>
      <c r="AW11" s="11"/>
    </row>
    <row r="12" spans="1:37" s="29" customFormat="1" ht="15">
      <c r="A12" s="26" t="s">
        <v>165</v>
      </c>
      <c r="B12" s="182">
        <v>2003</v>
      </c>
      <c r="C12" s="7" t="s">
        <v>34</v>
      </c>
      <c r="D12" s="187" t="s">
        <v>166</v>
      </c>
      <c r="E12" s="187" t="s">
        <v>111</v>
      </c>
      <c r="F12" s="7" t="s">
        <v>0</v>
      </c>
      <c r="G12" t="s">
        <v>36</v>
      </c>
      <c r="H12" t="s">
        <v>189</v>
      </c>
      <c r="I12" s="5">
        <v>3</v>
      </c>
      <c r="J12" s="29">
        <f aca="true" t="shared" si="4" ref="J12:J20">$J$8</f>
        <v>40</v>
      </c>
      <c r="K12" s="100">
        <f>Table!$H$7*I12*J12</f>
        <v>29534.4</v>
      </c>
      <c r="L12" t="s">
        <v>48</v>
      </c>
      <c r="M12" s="29">
        <v>1</v>
      </c>
      <c r="N12" s="101">
        <v>5000</v>
      </c>
      <c r="O12" s="95">
        <f>N12</f>
        <v>5000</v>
      </c>
      <c r="P12" s="95">
        <f>O12*Table!$H$1</f>
        <v>1549</v>
      </c>
      <c r="Q12" s="95">
        <f aca="true" t="shared" si="5" ref="Q12:Q28">O12+P12</f>
        <v>6549</v>
      </c>
      <c r="R12" s="95"/>
      <c r="S12" s="95">
        <f aca="true" t="shared" si="6" ref="S12:S28">Q12+R12</f>
        <v>6549</v>
      </c>
      <c r="T12" s="96">
        <f aca="true" t="shared" si="7" ref="T12:T28">K12-S12</f>
        <v>22985.4</v>
      </c>
      <c r="U12"/>
      <c r="V12" s="15">
        <f>J12</f>
        <v>40</v>
      </c>
      <c r="W12" s="27">
        <f t="shared" si="1"/>
        <v>1</v>
      </c>
      <c r="X12" s="98">
        <f aca="true" t="shared" si="8" ref="X12:X17">(W12*T12)*$X$9</f>
        <v>4597.080000000001</v>
      </c>
      <c r="Y12" s="133">
        <f aca="true" t="shared" si="9" ref="Y12:Y17">(W12*T12)*$Y$9</f>
        <v>11492.7</v>
      </c>
      <c r="Z12" s="98">
        <f aca="true" t="shared" si="10" ref="Z12:Z17">(W12*T12)*$Z$9</f>
        <v>6895.62</v>
      </c>
      <c r="AA12" s="12">
        <f aca="true" t="shared" si="11" ref="AA12:AA28">J12-V12</f>
        <v>0</v>
      </c>
      <c r="AB12" s="27">
        <f t="shared" si="2"/>
        <v>0</v>
      </c>
      <c r="AC12" s="96">
        <f aca="true" t="shared" si="12" ref="AC12">T12*AB12</f>
        <v>0</v>
      </c>
      <c r="AD12"/>
      <c r="AE12" s="99">
        <f aca="true" t="shared" si="13" ref="AE12:AE28">IF(L12="TTIN","0.00",(IF(L12="CIN","0.00",(IF(L12="IN","0.00",O12)))))</f>
        <v>5000</v>
      </c>
      <c r="AF12" s="99">
        <f aca="true" t="shared" si="14" ref="AF12:AF28">IF(L12="TTIN","0.00",(IF(L12="CIN","0.00",(IF(L12="IN","0.00",P12)))))</f>
        <v>1549</v>
      </c>
      <c r="AG12" s="99">
        <f aca="true" t="shared" si="15" ref="AG12:AG28">IF(L12="TTIN","0.00",(IF(L12="CIN","0.00",(IF(L12="IN","0.00",Q12)))))</f>
        <v>6549</v>
      </c>
      <c r="AH12" s="95"/>
      <c r="AI12" s="95"/>
      <c r="AJ12" s="95">
        <f aca="true" t="shared" si="16" ref="AJ12:AJ28">AG12+AH12+AI12</f>
        <v>6549</v>
      </c>
      <c r="AK12" s="95">
        <f aca="true" t="shared" si="17" ref="AK12">S12-AJ12</f>
        <v>0</v>
      </c>
    </row>
    <row r="13" spans="1:37" s="29" customFormat="1" ht="15">
      <c r="A13" s="26" t="s">
        <v>167</v>
      </c>
      <c r="B13" s="182">
        <v>2013</v>
      </c>
      <c r="C13" s="7" t="s">
        <v>34</v>
      </c>
      <c r="D13" s="187" t="s">
        <v>168</v>
      </c>
      <c r="E13" s="187" t="s">
        <v>111</v>
      </c>
      <c r="F13" s="7" t="s">
        <v>0</v>
      </c>
      <c r="G13" t="s">
        <v>36</v>
      </c>
      <c r="H13" t="s">
        <v>189</v>
      </c>
      <c r="I13" s="5">
        <v>3</v>
      </c>
      <c r="J13" s="29">
        <f t="shared" si="4"/>
        <v>40</v>
      </c>
      <c r="K13" s="100">
        <f>Table!$H$7*I13*J13</f>
        <v>29534.4</v>
      </c>
      <c r="L13" t="s">
        <v>48</v>
      </c>
      <c r="M13" s="29">
        <v>1</v>
      </c>
      <c r="N13" s="101">
        <v>5000</v>
      </c>
      <c r="O13" s="95">
        <v>5000</v>
      </c>
      <c r="P13" s="95">
        <f>O13*Table!$H$1</f>
        <v>1549</v>
      </c>
      <c r="Q13" s="95">
        <f t="shared" si="5"/>
        <v>6549</v>
      </c>
      <c r="R13" s="95"/>
      <c r="S13" s="95">
        <f t="shared" si="6"/>
        <v>6549</v>
      </c>
      <c r="T13" s="96">
        <f t="shared" si="7"/>
        <v>22985.4</v>
      </c>
      <c r="U13"/>
      <c r="V13" s="15">
        <f aca="true" t="shared" si="18" ref="V13:V28">J13</f>
        <v>40</v>
      </c>
      <c r="W13" s="27">
        <f t="shared" si="1"/>
        <v>1</v>
      </c>
      <c r="X13" s="98">
        <f t="shared" si="8"/>
        <v>4597.080000000001</v>
      </c>
      <c r="Y13" s="133">
        <f t="shared" si="9"/>
        <v>11492.7</v>
      </c>
      <c r="Z13" s="98">
        <f t="shared" si="10"/>
        <v>6895.62</v>
      </c>
      <c r="AA13" s="12">
        <f t="shared" si="11"/>
        <v>0</v>
      </c>
      <c r="AB13" s="27">
        <f t="shared" si="2"/>
        <v>0</v>
      </c>
      <c r="AC13" s="96">
        <f>T13*AB13</f>
        <v>0</v>
      </c>
      <c r="AD13"/>
      <c r="AE13" s="99">
        <f t="shared" si="13"/>
        <v>5000</v>
      </c>
      <c r="AF13" s="99">
        <f t="shared" si="14"/>
        <v>1549</v>
      </c>
      <c r="AG13" s="99">
        <f t="shared" si="15"/>
        <v>6549</v>
      </c>
      <c r="AH13" s="95"/>
      <c r="AI13" s="95"/>
      <c r="AJ13" s="95">
        <f t="shared" si="16"/>
        <v>6549</v>
      </c>
      <c r="AK13" s="95">
        <f>S13-AJ13</f>
        <v>0</v>
      </c>
    </row>
    <row r="14" spans="1:37" s="29" customFormat="1" ht="15">
      <c r="A14" s="26" t="s">
        <v>165</v>
      </c>
      <c r="B14" s="182">
        <v>2043</v>
      </c>
      <c r="C14" s="7" t="s">
        <v>34</v>
      </c>
      <c r="D14" s="187" t="s">
        <v>169</v>
      </c>
      <c r="E14" s="187" t="s">
        <v>111</v>
      </c>
      <c r="F14" s="7" t="s">
        <v>0</v>
      </c>
      <c r="G14" t="s">
        <v>36</v>
      </c>
      <c r="H14" t="s">
        <v>186</v>
      </c>
      <c r="I14" s="5">
        <v>3</v>
      </c>
      <c r="J14" s="29">
        <f t="shared" si="4"/>
        <v>40</v>
      </c>
      <c r="K14" s="100">
        <f>Table!$H$7*I14*J14</f>
        <v>29534.4</v>
      </c>
      <c r="L14" t="s">
        <v>47</v>
      </c>
      <c r="M14" s="29">
        <v>1</v>
      </c>
      <c r="N14" s="101">
        <v>50000</v>
      </c>
      <c r="O14" s="95">
        <f aca="true" t="shared" si="19" ref="O14:O28">IF(N14="A1","$4,000.00",(IF(N14="A2","$5,000.00",(IF(N14="A3","$5,000.00",(IF(L14="TTIN",I14*N14*0.025,IF(L14="TTIR",I14*N14*0.025,(IF(L14="O",I14*N14*0.025,(IF(L14="CIN",I14*N14*0.025,(IF(L14="CIR",I14*N14*0.025,(IF(L14="IR",I14*N14*0.025,(IF(L14="IN",I14*N14*0.025,(IF(L14="GA",I14*N14*0.025,(IF(L14="CISP",I14*N14*0.04))))))))))))))))))))))</f>
        <v>6000</v>
      </c>
      <c r="P14" s="95">
        <f>O14*Table!$H$1</f>
        <v>1858.8000000000002</v>
      </c>
      <c r="Q14" s="95">
        <f t="shared" si="5"/>
        <v>7858.8</v>
      </c>
      <c r="R14" s="95"/>
      <c r="S14" s="95">
        <f t="shared" si="6"/>
        <v>7858.8</v>
      </c>
      <c r="T14" s="96">
        <f t="shared" si="7"/>
        <v>21675.600000000002</v>
      </c>
      <c r="U14"/>
      <c r="V14" s="15">
        <f t="shared" si="18"/>
        <v>40</v>
      </c>
      <c r="W14" s="27">
        <f t="shared" si="1"/>
        <v>1</v>
      </c>
      <c r="X14" s="98">
        <f t="shared" si="8"/>
        <v>4335.120000000001</v>
      </c>
      <c r="Y14" s="133">
        <f t="shared" si="9"/>
        <v>10837.800000000001</v>
      </c>
      <c r="Z14" s="98">
        <f t="shared" si="10"/>
        <v>6502.68</v>
      </c>
      <c r="AA14" s="12">
        <f t="shared" si="11"/>
        <v>0</v>
      </c>
      <c r="AB14" s="27">
        <f t="shared" si="2"/>
        <v>0</v>
      </c>
      <c r="AC14" s="96">
        <f>T14*AB14</f>
        <v>0</v>
      </c>
      <c r="AD14"/>
      <c r="AE14" s="99">
        <f t="shared" si="13"/>
        <v>6000</v>
      </c>
      <c r="AF14" s="99">
        <f t="shared" si="14"/>
        <v>1858.8000000000002</v>
      </c>
      <c r="AG14" s="99">
        <f t="shared" si="15"/>
        <v>7858.8</v>
      </c>
      <c r="AH14" s="95"/>
      <c r="AI14" s="95"/>
      <c r="AJ14" s="95">
        <f t="shared" si="16"/>
        <v>7858.8</v>
      </c>
      <c r="AK14" s="95">
        <f>S14-AJ14</f>
        <v>0</v>
      </c>
    </row>
    <row r="15" spans="1:37" s="29" customFormat="1" ht="15">
      <c r="A15" s="26" t="s">
        <v>170</v>
      </c>
      <c r="B15" s="182">
        <v>3023</v>
      </c>
      <c r="C15" s="7" t="s">
        <v>34</v>
      </c>
      <c r="D15" s="187" t="s">
        <v>171</v>
      </c>
      <c r="E15" s="187" t="s">
        <v>111</v>
      </c>
      <c r="F15" s="7" t="s">
        <v>0</v>
      </c>
      <c r="G15" t="s">
        <v>36</v>
      </c>
      <c r="H15" t="s">
        <v>186</v>
      </c>
      <c r="I15" s="5">
        <v>3</v>
      </c>
      <c r="J15" s="29">
        <f t="shared" si="4"/>
        <v>40</v>
      </c>
      <c r="K15" s="100">
        <f>Table!$H$7*I15*J15</f>
        <v>29534.4</v>
      </c>
      <c r="L15" t="s">
        <v>47</v>
      </c>
      <c r="M15" s="29">
        <v>1</v>
      </c>
      <c r="N15" s="101">
        <v>50000</v>
      </c>
      <c r="O15" s="95">
        <f t="shared" si="19"/>
        <v>6000</v>
      </c>
      <c r="P15" s="95">
        <f>O15*Table!$H$1</f>
        <v>1858.8000000000002</v>
      </c>
      <c r="Q15" s="95">
        <f t="shared" si="5"/>
        <v>7858.8</v>
      </c>
      <c r="R15" s="95"/>
      <c r="S15" s="95">
        <f t="shared" si="6"/>
        <v>7858.8</v>
      </c>
      <c r="T15" s="96">
        <f t="shared" si="7"/>
        <v>21675.600000000002</v>
      </c>
      <c r="U15"/>
      <c r="V15" s="15">
        <f t="shared" si="18"/>
        <v>40</v>
      </c>
      <c r="W15" s="27">
        <f t="shared" si="1"/>
        <v>1</v>
      </c>
      <c r="X15" s="98">
        <f t="shared" si="8"/>
        <v>4335.120000000001</v>
      </c>
      <c r="Y15" s="133">
        <f t="shared" si="9"/>
        <v>10837.800000000001</v>
      </c>
      <c r="Z15" s="98">
        <f t="shared" si="10"/>
        <v>6502.68</v>
      </c>
      <c r="AA15" s="12">
        <f t="shared" si="11"/>
        <v>0</v>
      </c>
      <c r="AB15" s="27">
        <f t="shared" si="2"/>
        <v>0</v>
      </c>
      <c r="AC15" s="96">
        <f>T15*AB15</f>
        <v>0</v>
      </c>
      <c r="AD15"/>
      <c r="AE15" s="99">
        <f t="shared" si="13"/>
        <v>6000</v>
      </c>
      <c r="AF15" s="99">
        <f t="shared" si="14"/>
        <v>1858.8000000000002</v>
      </c>
      <c r="AG15" s="99">
        <f t="shared" si="15"/>
        <v>7858.8</v>
      </c>
      <c r="AH15" s="95"/>
      <c r="AI15" s="95"/>
      <c r="AJ15" s="95">
        <f t="shared" si="16"/>
        <v>7858.8</v>
      </c>
      <c r="AK15" s="95">
        <f>S15-AJ15</f>
        <v>0</v>
      </c>
    </row>
    <row r="16" spans="1:37" s="29" customFormat="1" ht="15">
      <c r="A16" s="26" t="s">
        <v>165</v>
      </c>
      <c r="B16" s="182">
        <v>3043</v>
      </c>
      <c r="C16" s="7" t="s">
        <v>34</v>
      </c>
      <c r="D16" s="187" t="s">
        <v>172</v>
      </c>
      <c r="E16" s="187" t="s">
        <v>111</v>
      </c>
      <c r="F16" s="7" t="s">
        <v>0</v>
      </c>
      <c r="G16" t="s">
        <v>36</v>
      </c>
      <c r="H16" t="s">
        <v>186</v>
      </c>
      <c r="I16" s="5">
        <v>3</v>
      </c>
      <c r="J16" s="29">
        <f t="shared" si="4"/>
        <v>40</v>
      </c>
      <c r="K16" s="100">
        <f>Table!$H$7*I16*J16</f>
        <v>29534.4</v>
      </c>
      <c r="L16" t="s">
        <v>47</v>
      </c>
      <c r="M16" s="29">
        <v>1</v>
      </c>
      <c r="N16" s="101">
        <v>50000</v>
      </c>
      <c r="O16" s="95">
        <f t="shared" si="19"/>
        <v>6000</v>
      </c>
      <c r="P16" s="95">
        <f>O16*Table!$H$1</f>
        <v>1858.8000000000002</v>
      </c>
      <c r="Q16" s="95">
        <f t="shared" si="5"/>
        <v>7858.8</v>
      </c>
      <c r="R16" s="95"/>
      <c r="S16" s="95">
        <f t="shared" si="6"/>
        <v>7858.8</v>
      </c>
      <c r="T16" s="96">
        <f t="shared" si="7"/>
        <v>21675.600000000002</v>
      </c>
      <c r="U16"/>
      <c r="V16" s="15">
        <f t="shared" si="18"/>
        <v>40</v>
      </c>
      <c r="W16" s="27">
        <f t="shared" si="1"/>
        <v>1</v>
      </c>
      <c r="X16" s="98">
        <f t="shared" si="8"/>
        <v>4335.120000000001</v>
      </c>
      <c r="Y16" s="133">
        <f t="shared" si="9"/>
        <v>10837.800000000001</v>
      </c>
      <c r="Z16" s="98">
        <f t="shared" si="10"/>
        <v>6502.68</v>
      </c>
      <c r="AA16" s="12">
        <f t="shared" si="11"/>
        <v>0</v>
      </c>
      <c r="AB16" s="27">
        <f t="shared" si="2"/>
        <v>0</v>
      </c>
      <c r="AC16" s="96">
        <f>T16*AB16</f>
        <v>0</v>
      </c>
      <c r="AD16"/>
      <c r="AE16" s="99">
        <f t="shared" si="13"/>
        <v>6000</v>
      </c>
      <c r="AF16" s="99">
        <f t="shared" si="14"/>
        <v>1858.8000000000002</v>
      </c>
      <c r="AG16" s="99">
        <f t="shared" si="15"/>
        <v>7858.8</v>
      </c>
      <c r="AH16" s="95"/>
      <c r="AI16" s="95"/>
      <c r="AJ16" s="95">
        <f t="shared" si="16"/>
        <v>7858.8</v>
      </c>
      <c r="AK16" s="95">
        <f>S16-AJ16</f>
        <v>0</v>
      </c>
    </row>
    <row r="17" spans="1:37" s="29" customFormat="1" ht="15">
      <c r="A17" s="26" t="s">
        <v>170</v>
      </c>
      <c r="B17" s="182">
        <v>3203</v>
      </c>
      <c r="C17" s="7" t="s">
        <v>34</v>
      </c>
      <c r="D17" s="187" t="s">
        <v>173</v>
      </c>
      <c r="E17" s="187" t="s">
        <v>111</v>
      </c>
      <c r="F17" s="7" t="s">
        <v>0</v>
      </c>
      <c r="G17" t="s">
        <v>36</v>
      </c>
      <c r="H17" t="s">
        <v>186</v>
      </c>
      <c r="I17" s="5">
        <v>3</v>
      </c>
      <c r="J17" s="29">
        <f t="shared" si="4"/>
        <v>40</v>
      </c>
      <c r="K17" s="100">
        <f>Table!$H$7*I17*J17</f>
        <v>29534.4</v>
      </c>
      <c r="L17" t="s">
        <v>75</v>
      </c>
      <c r="M17" s="29">
        <v>1</v>
      </c>
      <c r="N17" s="101">
        <v>50000</v>
      </c>
      <c r="O17" s="95">
        <f t="shared" si="19"/>
        <v>3750</v>
      </c>
      <c r="P17" s="95">
        <f>O17*Table!$H$1</f>
        <v>1161.75</v>
      </c>
      <c r="Q17" s="95">
        <f t="shared" si="5"/>
        <v>4911.75</v>
      </c>
      <c r="R17" s="95"/>
      <c r="S17" s="95">
        <f t="shared" si="6"/>
        <v>4911.75</v>
      </c>
      <c r="T17" s="96">
        <f t="shared" si="7"/>
        <v>24622.65</v>
      </c>
      <c r="U17"/>
      <c r="V17" s="15">
        <f t="shared" si="18"/>
        <v>40</v>
      </c>
      <c r="W17" s="27">
        <f t="shared" si="1"/>
        <v>1</v>
      </c>
      <c r="X17" s="98">
        <f t="shared" si="8"/>
        <v>4924.530000000001</v>
      </c>
      <c r="Y17" s="133">
        <f t="shared" si="9"/>
        <v>12311.325</v>
      </c>
      <c r="Z17" s="98">
        <f t="shared" si="10"/>
        <v>7386.795</v>
      </c>
      <c r="AA17" s="12">
        <f t="shared" si="11"/>
        <v>0</v>
      </c>
      <c r="AB17" s="27">
        <f t="shared" si="2"/>
        <v>0</v>
      </c>
      <c r="AC17" s="96">
        <f>T17*AB17</f>
        <v>0</v>
      </c>
      <c r="AD17"/>
      <c r="AE17" s="99">
        <f t="shared" si="13"/>
        <v>3750</v>
      </c>
      <c r="AF17" s="99">
        <f t="shared" si="14"/>
        <v>1161.75</v>
      </c>
      <c r="AG17" s="99">
        <f t="shared" si="15"/>
        <v>4911.75</v>
      </c>
      <c r="AH17" s="95"/>
      <c r="AI17" s="95"/>
      <c r="AJ17" s="95">
        <f t="shared" si="16"/>
        <v>4911.75</v>
      </c>
      <c r="AK17" s="95">
        <f>S17-AJ17</f>
        <v>0</v>
      </c>
    </row>
    <row r="18" spans="1:37" s="29" customFormat="1" ht="15">
      <c r="A18" s="26" t="s">
        <v>167</v>
      </c>
      <c r="B18" s="182" t="s">
        <v>188</v>
      </c>
      <c r="C18" s="7" t="s">
        <v>34</v>
      </c>
      <c r="D18" s="187" t="s">
        <v>187</v>
      </c>
      <c r="E18" s="187" t="s">
        <v>111</v>
      </c>
      <c r="F18" s="7" t="s">
        <v>0</v>
      </c>
      <c r="G18" t="s">
        <v>36</v>
      </c>
      <c r="H18" t="s">
        <v>186</v>
      </c>
      <c r="I18" s="5">
        <v>4</v>
      </c>
      <c r="J18" s="29">
        <f t="shared" si="4"/>
        <v>40</v>
      </c>
      <c r="K18" s="100">
        <f>Table!$H$7*I18*J18</f>
        <v>39379.2</v>
      </c>
      <c r="L18" t="s">
        <v>47</v>
      </c>
      <c r="M18" s="29">
        <v>1</v>
      </c>
      <c r="N18" s="101">
        <v>50000</v>
      </c>
      <c r="O18" s="95">
        <f t="shared" si="19"/>
        <v>8000</v>
      </c>
      <c r="P18" s="95">
        <f>O18*Table!$H$1</f>
        <v>2478.4</v>
      </c>
      <c r="Q18" s="95">
        <f t="shared" si="5"/>
        <v>10478.4</v>
      </c>
      <c r="R18" s="95"/>
      <c r="S18" s="95">
        <f t="shared" si="6"/>
        <v>10478.4</v>
      </c>
      <c r="T18" s="96">
        <f t="shared" si="7"/>
        <v>28900.799999999996</v>
      </c>
      <c r="U18"/>
      <c r="V18" s="15">
        <f t="shared" si="18"/>
        <v>40</v>
      </c>
      <c r="W18" s="27">
        <f t="shared" si="1"/>
        <v>1</v>
      </c>
      <c r="X18" s="98">
        <f aca="true" t="shared" si="20" ref="X18:X28">(W18*T18)*$X$9</f>
        <v>5780.16</v>
      </c>
      <c r="Y18" s="133">
        <f aca="true" t="shared" si="21" ref="Y18:Y28">(W18*T18)*$Y$9</f>
        <v>14450.399999999998</v>
      </c>
      <c r="Z18" s="98">
        <f aca="true" t="shared" si="22" ref="Z18:Z28">(W18*T18)*$Z$9</f>
        <v>8670.239999999998</v>
      </c>
      <c r="AA18" s="12">
        <f t="shared" si="11"/>
        <v>0</v>
      </c>
      <c r="AB18" s="27">
        <f t="shared" si="2"/>
        <v>0</v>
      </c>
      <c r="AC18" s="96">
        <f aca="true" t="shared" si="23" ref="AC18:AC28">T18*AB18</f>
        <v>0</v>
      </c>
      <c r="AD18"/>
      <c r="AE18" s="99">
        <f t="shared" si="13"/>
        <v>8000</v>
      </c>
      <c r="AF18" s="99">
        <f t="shared" si="14"/>
        <v>2478.4</v>
      </c>
      <c r="AG18" s="99">
        <f t="shared" si="15"/>
        <v>10478.4</v>
      </c>
      <c r="AH18" s="95"/>
      <c r="AI18" s="95"/>
      <c r="AJ18" s="95">
        <f t="shared" si="16"/>
        <v>10478.4</v>
      </c>
      <c r="AK18" s="95">
        <f aca="true" t="shared" si="24" ref="AK18:AK28">S18-AJ18</f>
        <v>0</v>
      </c>
    </row>
    <row r="19" spans="1:37" s="29" customFormat="1" ht="15">
      <c r="A19" s="26" t="s">
        <v>167</v>
      </c>
      <c r="B19" s="182">
        <v>3313</v>
      </c>
      <c r="C19" s="7" t="s">
        <v>34</v>
      </c>
      <c r="D19" s="187" t="s">
        <v>174</v>
      </c>
      <c r="E19" s="187" t="s">
        <v>111</v>
      </c>
      <c r="F19" s="7" t="s">
        <v>0</v>
      </c>
      <c r="G19" t="s">
        <v>36</v>
      </c>
      <c r="H19" t="s">
        <v>186</v>
      </c>
      <c r="I19" s="5">
        <v>3</v>
      </c>
      <c r="J19" s="29">
        <f t="shared" si="4"/>
        <v>40</v>
      </c>
      <c r="K19" s="100">
        <f>Table!$H$7*I19*J19</f>
        <v>29534.4</v>
      </c>
      <c r="L19" t="s">
        <v>47</v>
      </c>
      <c r="M19" s="29">
        <v>1</v>
      </c>
      <c r="N19" s="101">
        <v>50000</v>
      </c>
      <c r="O19" s="95">
        <f t="shared" si="19"/>
        <v>6000</v>
      </c>
      <c r="P19" s="95">
        <f>O19*Table!$H$1</f>
        <v>1858.8000000000002</v>
      </c>
      <c r="Q19" s="95">
        <f t="shared" si="5"/>
        <v>7858.8</v>
      </c>
      <c r="R19" s="95"/>
      <c r="S19" s="95">
        <f t="shared" si="6"/>
        <v>7858.8</v>
      </c>
      <c r="T19" s="96">
        <f t="shared" si="7"/>
        <v>21675.600000000002</v>
      </c>
      <c r="U19"/>
      <c r="V19" s="15">
        <f t="shared" si="18"/>
        <v>40</v>
      </c>
      <c r="W19" s="27">
        <f t="shared" si="1"/>
        <v>1</v>
      </c>
      <c r="X19" s="98">
        <f t="shared" si="20"/>
        <v>4335.120000000001</v>
      </c>
      <c r="Y19" s="133">
        <f t="shared" si="21"/>
        <v>10837.800000000001</v>
      </c>
      <c r="Z19" s="98">
        <f t="shared" si="22"/>
        <v>6502.68</v>
      </c>
      <c r="AA19" s="12">
        <f t="shared" si="11"/>
        <v>0</v>
      </c>
      <c r="AB19" s="27">
        <f t="shared" si="2"/>
        <v>0</v>
      </c>
      <c r="AC19" s="96">
        <f t="shared" si="23"/>
        <v>0</v>
      </c>
      <c r="AD19"/>
      <c r="AE19" s="99">
        <f t="shared" si="13"/>
        <v>6000</v>
      </c>
      <c r="AF19" s="99">
        <f t="shared" si="14"/>
        <v>1858.8000000000002</v>
      </c>
      <c r="AG19" s="99">
        <f t="shared" si="15"/>
        <v>7858.8</v>
      </c>
      <c r="AH19" s="95"/>
      <c r="AI19" s="95"/>
      <c r="AJ19" s="95">
        <f t="shared" si="16"/>
        <v>7858.8</v>
      </c>
      <c r="AK19" s="95">
        <f t="shared" si="24"/>
        <v>0</v>
      </c>
    </row>
    <row r="20" spans="1:37" s="29" customFormat="1" ht="15">
      <c r="A20" s="26" t="s">
        <v>170</v>
      </c>
      <c r="B20" s="182">
        <v>3723</v>
      </c>
      <c r="C20" s="7" t="s">
        <v>34</v>
      </c>
      <c r="D20" s="188" t="s">
        <v>175</v>
      </c>
      <c r="E20" s="188" t="s">
        <v>111</v>
      </c>
      <c r="F20" s="7" t="s">
        <v>0</v>
      </c>
      <c r="G20" t="s">
        <v>36</v>
      </c>
      <c r="H20" t="s">
        <v>186</v>
      </c>
      <c r="I20" s="5">
        <v>3</v>
      </c>
      <c r="J20" s="29">
        <f t="shared" si="4"/>
        <v>40</v>
      </c>
      <c r="K20" s="100">
        <f>Table!$H$7*I20*J20</f>
        <v>29534.4</v>
      </c>
      <c r="L20" t="s">
        <v>51</v>
      </c>
      <c r="M20" s="29">
        <v>1</v>
      </c>
      <c r="N20" s="101">
        <v>50000</v>
      </c>
      <c r="O20" s="95">
        <f t="shared" si="19"/>
        <v>3750</v>
      </c>
      <c r="P20" s="95">
        <f>O20*Table!$H$1</f>
        <v>1161.75</v>
      </c>
      <c r="Q20" s="95">
        <f t="shared" si="5"/>
        <v>4911.75</v>
      </c>
      <c r="R20" s="95"/>
      <c r="S20" s="95">
        <f t="shared" si="6"/>
        <v>4911.75</v>
      </c>
      <c r="T20" s="96">
        <f t="shared" si="7"/>
        <v>24622.65</v>
      </c>
      <c r="U20"/>
      <c r="V20" s="15">
        <f t="shared" si="18"/>
        <v>40</v>
      </c>
      <c r="W20" s="27">
        <f t="shared" si="1"/>
        <v>1</v>
      </c>
      <c r="X20" s="98">
        <f t="shared" si="20"/>
        <v>4924.530000000001</v>
      </c>
      <c r="Y20" s="133">
        <f t="shared" si="21"/>
        <v>12311.325</v>
      </c>
      <c r="Z20" s="98">
        <f t="shared" si="22"/>
        <v>7386.795</v>
      </c>
      <c r="AA20" s="12">
        <f t="shared" si="11"/>
        <v>0</v>
      </c>
      <c r="AB20" s="27">
        <f t="shared" si="2"/>
        <v>0</v>
      </c>
      <c r="AC20" s="96">
        <f t="shared" si="23"/>
        <v>0</v>
      </c>
      <c r="AD20"/>
      <c r="AE20" s="99">
        <f t="shared" si="13"/>
        <v>3750</v>
      </c>
      <c r="AF20" s="99">
        <f t="shared" si="14"/>
        <v>1161.75</v>
      </c>
      <c r="AG20" s="99">
        <f t="shared" si="15"/>
        <v>4911.75</v>
      </c>
      <c r="AH20" s="95"/>
      <c r="AI20" s="95"/>
      <c r="AJ20" s="95">
        <f t="shared" si="16"/>
        <v>4911.75</v>
      </c>
      <c r="AK20" s="95">
        <f t="shared" si="24"/>
        <v>0</v>
      </c>
    </row>
    <row r="21" spans="1:37" s="29" customFormat="1" ht="15">
      <c r="A21" s="26" t="s">
        <v>170</v>
      </c>
      <c r="B21" s="182">
        <v>3513</v>
      </c>
      <c r="C21" s="7" t="s">
        <v>34</v>
      </c>
      <c r="D21" s="188" t="s">
        <v>176</v>
      </c>
      <c r="E21" s="188" t="s">
        <v>131</v>
      </c>
      <c r="F21" s="7" t="s">
        <v>0</v>
      </c>
      <c r="G21" t="s">
        <v>36</v>
      </c>
      <c r="H21" t="s">
        <v>186</v>
      </c>
      <c r="I21" s="5">
        <v>3</v>
      </c>
      <c r="J21" s="29">
        <f>$J$8/2</f>
        <v>20</v>
      </c>
      <c r="K21" s="100">
        <f>Table!$H$7*I21*J21</f>
        <v>14767.2</v>
      </c>
      <c r="L21" t="s">
        <v>75</v>
      </c>
      <c r="M21" s="29">
        <v>1</v>
      </c>
      <c r="N21" s="101">
        <v>50000</v>
      </c>
      <c r="O21" s="95">
        <f t="shared" si="19"/>
        <v>3750</v>
      </c>
      <c r="P21" s="95">
        <f>O21*Table!$H$1</f>
        <v>1161.75</v>
      </c>
      <c r="Q21" s="95">
        <f t="shared" si="5"/>
        <v>4911.75</v>
      </c>
      <c r="R21" s="95"/>
      <c r="S21" s="95">
        <f t="shared" si="6"/>
        <v>4911.75</v>
      </c>
      <c r="T21" s="96">
        <f t="shared" si="7"/>
        <v>9855.45</v>
      </c>
      <c r="U21"/>
      <c r="V21" s="15">
        <f t="shared" si="18"/>
        <v>20</v>
      </c>
      <c r="W21" s="27">
        <f t="shared" si="1"/>
        <v>1</v>
      </c>
      <c r="X21" s="98">
        <f t="shared" si="20"/>
        <v>1971.0900000000001</v>
      </c>
      <c r="Y21" s="133">
        <f t="shared" si="21"/>
        <v>4927.725</v>
      </c>
      <c r="Z21" s="98">
        <f t="shared" si="22"/>
        <v>2956.635</v>
      </c>
      <c r="AA21" s="12">
        <f t="shared" si="11"/>
        <v>0</v>
      </c>
      <c r="AB21" s="27">
        <f t="shared" si="2"/>
        <v>0</v>
      </c>
      <c r="AC21" s="96">
        <f t="shared" si="23"/>
        <v>0</v>
      </c>
      <c r="AD21"/>
      <c r="AE21" s="99">
        <f t="shared" si="13"/>
        <v>3750</v>
      </c>
      <c r="AF21" s="99">
        <f t="shared" si="14"/>
        <v>1161.75</v>
      </c>
      <c r="AG21" s="99">
        <f t="shared" si="15"/>
        <v>4911.75</v>
      </c>
      <c r="AH21" s="95"/>
      <c r="AI21" s="95"/>
      <c r="AJ21" s="95">
        <f t="shared" si="16"/>
        <v>4911.75</v>
      </c>
      <c r="AK21" s="95">
        <f t="shared" si="24"/>
        <v>0</v>
      </c>
    </row>
    <row r="22" spans="1:37" s="29" customFormat="1" ht="15">
      <c r="A22" s="26" t="s">
        <v>170</v>
      </c>
      <c r="B22" s="182">
        <v>3063</v>
      </c>
      <c r="C22" s="7" t="s">
        <v>34</v>
      </c>
      <c r="D22" s="188" t="s">
        <v>177</v>
      </c>
      <c r="E22" s="188" t="s">
        <v>131</v>
      </c>
      <c r="F22" s="7" t="s">
        <v>0</v>
      </c>
      <c r="G22" t="s">
        <v>36</v>
      </c>
      <c r="H22" t="s">
        <v>186</v>
      </c>
      <c r="I22" s="5">
        <v>3</v>
      </c>
      <c r="J22" s="29">
        <f aca="true" t="shared" si="25" ref="J22:J28">$J$8/2</f>
        <v>20</v>
      </c>
      <c r="K22" s="100">
        <f>Table!$H$7*I22*J22</f>
        <v>14767.2</v>
      </c>
      <c r="L22" t="s">
        <v>51</v>
      </c>
      <c r="M22" s="29">
        <v>1</v>
      </c>
      <c r="N22" s="101">
        <v>50000</v>
      </c>
      <c r="O22" s="95">
        <f t="shared" si="19"/>
        <v>3750</v>
      </c>
      <c r="P22" s="95">
        <f>O22*Table!$H$1</f>
        <v>1161.75</v>
      </c>
      <c r="Q22" s="95">
        <f t="shared" si="5"/>
        <v>4911.75</v>
      </c>
      <c r="R22" s="95"/>
      <c r="S22" s="95">
        <f t="shared" si="6"/>
        <v>4911.75</v>
      </c>
      <c r="T22" s="96">
        <f t="shared" si="7"/>
        <v>9855.45</v>
      </c>
      <c r="U22"/>
      <c r="V22" s="15">
        <f t="shared" si="18"/>
        <v>20</v>
      </c>
      <c r="W22" s="27">
        <f t="shared" si="1"/>
        <v>1</v>
      </c>
      <c r="X22" s="98">
        <f t="shared" si="20"/>
        <v>1971.0900000000001</v>
      </c>
      <c r="Y22" s="133">
        <f t="shared" si="21"/>
        <v>4927.725</v>
      </c>
      <c r="Z22" s="98">
        <f t="shared" si="22"/>
        <v>2956.635</v>
      </c>
      <c r="AA22" s="12">
        <f t="shared" si="11"/>
        <v>0</v>
      </c>
      <c r="AB22" s="27">
        <f t="shared" si="2"/>
        <v>0</v>
      </c>
      <c r="AC22" s="96">
        <f t="shared" si="23"/>
        <v>0</v>
      </c>
      <c r="AD22"/>
      <c r="AE22" s="99">
        <f t="shared" si="13"/>
        <v>3750</v>
      </c>
      <c r="AF22" s="99">
        <f t="shared" si="14"/>
        <v>1161.75</v>
      </c>
      <c r="AG22" s="99">
        <f t="shared" si="15"/>
        <v>4911.75</v>
      </c>
      <c r="AH22" s="95"/>
      <c r="AI22" s="95"/>
      <c r="AJ22" s="95">
        <f t="shared" si="16"/>
        <v>4911.75</v>
      </c>
      <c r="AK22" s="95">
        <f t="shared" si="24"/>
        <v>0</v>
      </c>
    </row>
    <row r="23" spans="1:37" s="29" customFormat="1" ht="15">
      <c r="A23" s="26" t="s">
        <v>165</v>
      </c>
      <c r="B23" s="182">
        <v>3503</v>
      </c>
      <c r="C23" s="7" t="s">
        <v>34</v>
      </c>
      <c r="D23" s="188" t="s">
        <v>178</v>
      </c>
      <c r="E23" s="188" t="s">
        <v>120</v>
      </c>
      <c r="F23" s="7" t="s">
        <v>0</v>
      </c>
      <c r="G23" t="s">
        <v>36</v>
      </c>
      <c r="H23" t="s">
        <v>186</v>
      </c>
      <c r="I23" s="5">
        <v>3</v>
      </c>
      <c r="J23" s="29">
        <f t="shared" si="25"/>
        <v>20</v>
      </c>
      <c r="K23" s="100">
        <f>Table!$H$7*I23*J23</f>
        <v>14767.2</v>
      </c>
      <c r="L23" t="s">
        <v>47</v>
      </c>
      <c r="M23" s="29">
        <v>1</v>
      </c>
      <c r="N23" s="101">
        <v>50000</v>
      </c>
      <c r="O23" s="95">
        <f t="shared" si="19"/>
        <v>6000</v>
      </c>
      <c r="P23" s="95">
        <f>O23*Table!$H$1</f>
        <v>1858.8000000000002</v>
      </c>
      <c r="Q23" s="95">
        <f t="shared" si="5"/>
        <v>7858.8</v>
      </c>
      <c r="R23" s="95"/>
      <c r="S23" s="95">
        <f t="shared" si="6"/>
        <v>7858.8</v>
      </c>
      <c r="T23" s="96">
        <f t="shared" si="7"/>
        <v>6908.400000000001</v>
      </c>
      <c r="U23"/>
      <c r="V23" s="15">
        <f t="shared" si="18"/>
        <v>20</v>
      </c>
      <c r="W23" s="27">
        <f t="shared" si="1"/>
        <v>1</v>
      </c>
      <c r="X23" s="98">
        <f t="shared" si="20"/>
        <v>1381.6800000000003</v>
      </c>
      <c r="Y23" s="133">
        <f t="shared" si="21"/>
        <v>3454.2000000000003</v>
      </c>
      <c r="Z23" s="98">
        <f t="shared" si="22"/>
        <v>2072.52</v>
      </c>
      <c r="AA23" s="12">
        <f t="shared" si="11"/>
        <v>0</v>
      </c>
      <c r="AB23" s="27">
        <f t="shared" si="2"/>
        <v>0</v>
      </c>
      <c r="AC23" s="96">
        <f t="shared" si="23"/>
        <v>0</v>
      </c>
      <c r="AD23"/>
      <c r="AE23" s="99">
        <f t="shared" si="13"/>
        <v>6000</v>
      </c>
      <c r="AF23" s="99">
        <f t="shared" si="14"/>
        <v>1858.8000000000002</v>
      </c>
      <c r="AG23" s="99">
        <f t="shared" si="15"/>
        <v>7858.8</v>
      </c>
      <c r="AH23" s="95"/>
      <c r="AI23" s="95"/>
      <c r="AJ23" s="95">
        <f t="shared" si="16"/>
        <v>7858.8</v>
      </c>
      <c r="AK23" s="95">
        <f t="shared" si="24"/>
        <v>0</v>
      </c>
    </row>
    <row r="24" spans="1:37" s="29" customFormat="1" ht="15">
      <c r="A24" s="26" t="s">
        <v>165</v>
      </c>
      <c r="B24" s="182">
        <v>4013</v>
      </c>
      <c r="C24" s="7" t="s">
        <v>34</v>
      </c>
      <c r="D24" s="188" t="s">
        <v>179</v>
      </c>
      <c r="E24" s="188" t="s">
        <v>131</v>
      </c>
      <c r="F24" s="7" t="s">
        <v>0</v>
      </c>
      <c r="G24" t="s">
        <v>36</v>
      </c>
      <c r="H24" t="s">
        <v>186</v>
      </c>
      <c r="I24" s="5">
        <v>3</v>
      </c>
      <c r="J24" s="29">
        <f t="shared" si="25"/>
        <v>20</v>
      </c>
      <c r="K24" s="100">
        <f>Table!$H$7*I24*J24</f>
        <v>14767.2</v>
      </c>
      <c r="L24" t="s">
        <v>50</v>
      </c>
      <c r="M24" s="29">
        <v>1</v>
      </c>
      <c r="N24" s="101">
        <v>50000</v>
      </c>
      <c r="O24" s="95">
        <f t="shared" si="19"/>
        <v>3750</v>
      </c>
      <c r="P24" s="95">
        <f>O24*Table!$H$1</f>
        <v>1161.75</v>
      </c>
      <c r="Q24" s="95">
        <f t="shared" si="5"/>
        <v>4911.75</v>
      </c>
      <c r="R24" s="95"/>
      <c r="S24" s="95">
        <f t="shared" si="6"/>
        <v>4911.75</v>
      </c>
      <c r="T24" s="96">
        <f t="shared" si="7"/>
        <v>9855.45</v>
      </c>
      <c r="U24"/>
      <c r="V24" s="15">
        <f t="shared" si="18"/>
        <v>20</v>
      </c>
      <c r="W24" s="27">
        <f t="shared" si="1"/>
        <v>1</v>
      </c>
      <c r="X24" s="98">
        <f t="shared" si="20"/>
        <v>1971.0900000000001</v>
      </c>
      <c r="Y24" s="133">
        <f t="shared" si="21"/>
        <v>4927.725</v>
      </c>
      <c r="Z24" s="98">
        <f t="shared" si="22"/>
        <v>2956.635</v>
      </c>
      <c r="AA24" s="12">
        <f t="shared" si="11"/>
        <v>0</v>
      </c>
      <c r="AB24" s="27">
        <f t="shared" si="2"/>
        <v>0</v>
      </c>
      <c r="AC24" s="96">
        <f t="shared" si="23"/>
        <v>0</v>
      </c>
      <c r="AD24"/>
      <c r="AE24" s="99" t="str">
        <f t="shared" si="13"/>
        <v>0.00</v>
      </c>
      <c r="AF24" s="99" t="str">
        <f t="shared" si="14"/>
        <v>0.00</v>
      </c>
      <c r="AG24" s="99" t="str">
        <f t="shared" si="15"/>
        <v>0.00</v>
      </c>
      <c r="AH24" s="95"/>
      <c r="AI24" s="95"/>
      <c r="AJ24" s="95">
        <f t="shared" si="16"/>
        <v>0</v>
      </c>
      <c r="AK24" s="95">
        <f t="shared" si="24"/>
        <v>4911.75</v>
      </c>
    </row>
    <row r="25" spans="1:37" s="29" customFormat="1" ht="15">
      <c r="A25" s="26" t="s">
        <v>165</v>
      </c>
      <c r="B25" s="182">
        <v>4043</v>
      </c>
      <c r="C25" s="7" t="s">
        <v>34</v>
      </c>
      <c r="D25" s="188" t="s">
        <v>180</v>
      </c>
      <c r="E25" s="188" t="s">
        <v>192</v>
      </c>
      <c r="F25" s="7" t="s">
        <v>0</v>
      </c>
      <c r="G25" t="s">
        <v>36</v>
      </c>
      <c r="H25" t="s">
        <v>186</v>
      </c>
      <c r="I25" s="5">
        <v>3</v>
      </c>
      <c r="J25" s="29">
        <f t="shared" si="25"/>
        <v>20</v>
      </c>
      <c r="K25" s="100">
        <f>Table!$H$7*I25*J25</f>
        <v>14767.2</v>
      </c>
      <c r="L25" t="s">
        <v>75</v>
      </c>
      <c r="M25" s="29">
        <v>1</v>
      </c>
      <c r="N25" s="101">
        <v>50000</v>
      </c>
      <c r="O25" s="95">
        <f t="shared" si="19"/>
        <v>3750</v>
      </c>
      <c r="P25" s="95">
        <f>O25*Table!$H$1</f>
        <v>1161.75</v>
      </c>
      <c r="Q25" s="95">
        <f t="shared" si="5"/>
        <v>4911.75</v>
      </c>
      <c r="R25" s="95"/>
      <c r="S25" s="95">
        <f t="shared" si="6"/>
        <v>4911.75</v>
      </c>
      <c r="T25" s="96">
        <f t="shared" si="7"/>
        <v>9855.45</v>
      </c>
      <c r="U25"/>
      <c r="V25" s="15">
        <f t="shared" si="18"/>
        <v>20</v>
      </c>
      <c r="W25" s="27">
        <f t="shared" si="1"/>
        <v>1</v>
      </c>
      <c r="X25" s="98">
        <f t="shared" si="20"/>
        <v>1971.0900000000001</v>
      </c>
      <c r="Y25" s="133">
        <f t="shared" si="21"/>
        <v>4927.725</v>
      </c>
      <c r="Z25" s="98">
        <f t="shared" si="22"/>
        <v>2956.635</v>
      </c>
      <c r="AA25" s="12">
        <f t="shared" si="11"/>
        <v>0</v>
      </c>
      <c r="AB25" s="27">
        <f t="shared" si="2"/>
        <v>0</v>
      </c>
      <c r="AC25" s="96">
        <f t="shared" si="23"/>
        <v>0</v>
      </c>
      <c r="AD25"/>
      <c r="AE25" s="99">
        <f t="shared" si="13"/>
        <v>3750</v>
      </c>
      <c r="AF25" s="99">
        <f t="shared" si="14"/>
        <v>1161.75</v>
      </c>
      <c r="AG25" s="99">
        <f t="shared" si="15"/>
        <v>4911.75</v>
      </c>
      <c r="AH25" s="95"/>
      <c r="AI25" s="95"/>
      <c r="AJ25" s="95">
        <f t="shared" si="16"/>
        <v>4911.75</v>
      </c>
      <c r="AK25" s="95">
        <f t="shared" si="24"/>
        <v>0</v>
      </c>
    </row>
    <row r="26" spans="1:37" s="29" customFormat="1" ht="15">
      <c r="A26" s="26" t="s">
        <v>167</v>
      </c>
      <c r="B26" s="182">
        <v>4013</v>
      </c>
      <c r="C26" s="7" t="s">
        <v>34</v>
      </c>
      <c r="D26" s="188" t="s">
        <v>181</v>
      </c>
      <c r="E26" s="188" t="s">
        <v>192</v>
      </c>
      <c r="F26" s="7" t="s">
        <v>0</v>
      </c>
      <c r="G26" t="s">
        <v>36</v>
      </c>
      <c r="H26" t="s">
        <v>186</v>
      </c>
      <c r="I26" s="5">
        <v>3</v>
      </c>
      <c r="J26" s="29">
        <f t="shared" si="25"/>
        <v>20</v>
      </c>
      <c r="K26" s="100">
        <f>Table!$H$7*I26*J26</f>
        <v>14767.2</v>
      </c>
      <c r="L26" t="s">
        <v>50</v>
      </c>
      <c r="M26" s="29">
        <v>1</v>
      </c>
      <c r="N26" s="101">
        <v>50000</v>
      </c>
      <c r="O26" s="95">
        <f t="shared" si="19"/>
        <v>3750</v>
      </c>
      <c r="P26" s="95">
        <f>O26*Table!$H$1</f>
        <v>1161.75</v>
      </c>
      <c r="Q26" s="95">
        <f t="shared" si="5"/>
        <v>4911.75</v>
      </c>
      <c r="R26" s="95"/>
      <c r="S26" s="95">
        <f t="shared" si="6"/>
        <v>4911.75</v>
      </c>
      <c r="T26" s="96">
        <f t="shared" si="7"/>
        <v>9855.45</v>
      </c>
      <c r="U26"/>
      <c r="V26" s="15">
        <f t="shared" si="18"/>
        <v>20</v>
      </c>
      <c r="W26" s="27">
        <f t="shared" si="1"/>
        <v>1</v>
      </c>
      <c r="X26" s="98">
        <f t="shared" si="20"/>
        <v>1971.0900000000001</v>
      </c>
      <c r="Y26" s="133">
        <f t="shared" si="21"/>
        <v>4927.725</v>
      </c>
      <c r="Z26" s="98">
        <f t="shared" si="22"/>
        <v>2956.635</v>
      </c>
      <c r="AA26" s="12">
        <f t="shared" si="11"/>
        <v>0</v>
      </c>
      <c r="AB26" s="27">
        <f t="shared" si="2"/>
        <v>0</v>
      </c>
      <c r="AC26" s="96">
        <f t="shared" si="23"/>
        <v>0</v>
      </c>
      <c r="AD26"/>
      <c r="AE26" s="99" t="str">
        <f t="shared" si="13"/>
        <v>0.00</v>
      </c>
      <c r="AF26" s="99" t="str">
        <f t="shared" si="14"/>
        <v>0.00</v>
      </c>
      <c r="AG26" s="99" t="str">
        <f t="shared" si="15"/>
        <v>0.00</v>
      </c>
      <c r="AH26" s="95"/>
      <c r="AI26" s="95"/>
      <c r="AJ26" s="95">
        <f t="shared" si="16"/>
        <v>0</v>
      </c>
      <c r="AK26" s="95">
        <f t="shared" si="24"/>
        <v>4911.75</v>
      </c>
    </row>
    <row r="27" spans="1:37" s="29" customFormat="1" ht="15">
      <c r="A27" s="26" t="s">
        <v>165</v>
      </c>
      <c r="B27" s="182">
        <v>3413</v>
      </c>
      <c r="C27" s="7" t="s">
        <v>34</v>
      </c>
      <c r="D27" s="188" t="s">
        <v>179</v>
      </c>
      <c r="E27" s="188" t="s">
        <v>192</v>
      </c>
      <c r="F27" s="7" t="s">
        <v>0</v>
      </c>
      <c r="G27" t="s">
        <v>36</v>
      </c>
      <c r="H27" t="s">
        <v>186</v>
      </c>
      <c r="I27" s="5">
        <v>3</v>
      </c>
      <c r="J27" s="29">
        <f t="shared" si="25"/>
        <v>20</v>
      </c>
      <c r="K27" s="100">
        <f>Table!$H$7*I27*J27</f>
        <v>14767.2</v>
      </c>
      <c r="L27" t="s">
        <v>50</v>
      </c>
      <c r="M27" s="29">
        <v>1</v>
      </c>
      <c r="N27" s="101">
        <v>50000</v>
      </c>
      <c r="O27" s="95">
        <f t="shared" si="19"/>
        <v>3750</v>
      </c>
      <c r="P27" s="95">
        <f>O27*Table!$H$1</f>
        <v>1161.75</v>
      </c>
      <c r="Q27" s="95">
        <f t="shared" si="5"/>
        <v>4911.75</v>
      </c>
      <c r="R27" s="95"/>
      <c r="S27" s="95">
        <f t="shared" si="6"/>
        <v>4911.75</v>
      </c>
      <c r="T27" s="96">
        <f t="shared" si="7"/>
        <v>9855.45</v>
      </c>
      <c r="U27"/>
      <c r="V27" s="15">
        <f t="shared" si="18"/>
        <v>20</v>
      </c>
      <c r="W27" s="27">
        <f t="shared" si="1"/>
        <v>1</v>
      </c>
      <c r="X27" s="98">
        <f t="shared" si="20"/>
        <v>1971.0900000000001</v>
      </c>
      <c r="Y27" s="133">
        <f t="shared" si="21"/>
        <v>4927.725</v>
      </c>
      <c r="Z27" s="98">
        <f t="shared" si="22"/>
        <v>2956.635</v>
      </c>
      <c r="AA27" s="12">
        <f t="shared" si="11"/>
        <v>0</v>
      </c>
      <c r="AB27" s="27">
        <f t="shared" si="2"/>
        <v>0</v>
      </c>
      <c r="AC27" s="96">
        <f t="shared" si="23"/>
        <v>0</v>
      </c>
      <c r="AD27"/>
      <c r="AE27" s="99" t="str">
        <f t="shared" si="13"/>
        <v>0.00</v>
      </c>
      <c r="AF27" s="99" t="str">
        <f t="shared" si="14"/>
        <v>0.00</v>
      </c>
      <c r="AG27" s="99" t="str">
        <f t="shared" si="15"/>
        <v>0.00</v>
      </c>
      <c r="AH27" s="95"/>
      <c r="AI27" s="95"/>
      <c r="AJ27" s="95">
        <f t="shared" si="16"/>
        <v>0</v>
      </c>
      <c r="AK27" s="95">
        <f t="shared" si="24"/>
        <v>4911.75</v>
      </c>
    </row>
    <row r="28" spans="1:37" s="29" customFormat="1" ht="15">
      <c r="A28" s="26" t="s">
        <v>167</v>
      </c>
      <c r="B28" s="182">
        <v>3413</v>
      </c>
      <c r="C28" s="7" t="s">
        <v>34</v>
      </c>
      <c r="D28" s="188" t="s">
        <v>181</v>
      </c>
      <c r="E28" s="188" t="s">
        <v>131</v>
      </c>
      <c r="F28" s="7" t="s">
        <v>0</v>
      </c>
      <c r="G28" t="s">
        <v>36</v>
      </c>
      <c r="H28" t="s">
        <v>186</v>
      </c>
      <c r="I28" s="5">
        <v>3</v>
      </c>
      <c r="J28" s="29">
        <f t="shared" si="25"/>
        <v>20</v>
      </c>
      <c r="K28" s="100">
        <f>Table!$H$7*I28*J28</f>
        <v>14767.2</v>
      </c>
      <c r="L28" t="s">
        <v>50</v>
      </c>
      <c r="M28" s="29">
        <v>1</v>
      </c>
      <c r="N28" s="101">
        <v>50000</v>
      </c>
      <c r="O28" s="95">
        <f t="shared" si="19"/>
        <v>3750</v>
      </c>
      <c r="P28" s="95">
        <f>O28*Table!$H$1</f>
        <v>1161.75</v>
      </c>
      <c r="Q28" s="95">
        <f t="shared" si="5"/>
        <v>4911.75</v>
      </c>
      <c r="R28" s="95"/>
      <c r="S28" s="95">
        <f t="shared" si="6"/>
        <v>4911.75</v>
      </c>
      <c r="T28" s="96">
        <f t="shared" si="7"/>
        <v>9855.45</v>
      </c>
      <c r="U28"/>
      <c r="V28" s="15">
        <f t="shared" si="18"/>
        <v>20</v>
      </c>
      <c r="W28" s="27">
        <f t="shared" si="1"/>
        <v>1</v>
      </c>
      <c r="X28" s="98">
        <f t="shared" si="20"/>
        <v>1971.0900000000001</v>
      </c>
      <c r="Y28" s="133">
        <f t="shared" si="21"/>
        <v>4927.725</v>
      </c>
      <c r="Z28" s="98">
        <f t="shared" si="22"/>
        <v>2956.635</v>
      </c>
      <c r="AA28" s="12">
        <f t="shared" si="11"/>
        <v>0</v>
      </c>
      <c r="AB28" s="27">
        <f t="shared" si="2"/>
        <v>0</v>
      </c>
      <c r="AC28" s="96">
        <f t="shared" si="23"/>
        <v>0</v>
      </c>
      <c r="AD28"/>
      <c r="AE28" s="99" t="str">
        <f t="shared" si="13"/>
        <v>0.00</v>
      </c>
      <c r="AF28" s="99" t="str">
        <f t="shared" si="14"/>
        <v>0.00</v>
      </c>
      <c r="AG28" s="99" t="str">
        <f t="shared" si="15"/>
        <v>0.00</v>
      </c>
      <c r="AH28" s="95"/>
      <c r="AI28" s="95"/>
      <c r="AJ28" s="95">
        <f t="shared" si="16"/>
        <v>0</v>
      </c>
      <c r="AK28" s="95">
        <f t="shared" si="24"/>
        <v>4911.75</v>
      </c>
    </row>
    <row r="29" spans="25:37" ht="15">
      <c r="Y29" s="77"/>
      <c r="AE29" s="28"/>
      <c r="AF29" s="28"/>
      <c r="AG29" s="28"/>
      <c r="AH29" s="28"/>
      <c r="AI29" s="28"/>
      <c r="AJ29" s="28"/>
      <c r="AK29" s="28"/>
    </row>
    <row r="30" spans="1:37" s="29" customFormat="1" ht="15">
      <c r="A30" s="56"/>
      <c r="I30" s="57"/>
      <c r="K30" s="58"/>
      <c r="N30" s="59"/>
      <c r="O30" s="60"/>
      <c r="P30" s="60"/>
      <c r="Q30" s="60"/>
      <c r="R30"/>
      <c r="S30"/>
      <c r="T30"/>
      <c r="U30"/>
      <c r="V30"/>
      <c r="W30"/>
      <c r="X30"/>
      <c r="Y30" s="77"/>
      <c r="Z30"/>
      <c r="AA30"/>
      <c r="AB30"/>
      <c r="AC30"/>
      <c r="AD30"/>
      <c r="AE30" s="28"/>
      <c r="AF30" s="28"/>
      <c r="AG30" s="28"/>
      <c r="AH30" s="28"/>
      <c r="AI30" s="28"/>
      <c r="AJ30" s="28"/>
      <c r="AK30" s="28"/>
    </row>
    <row r="31" spans="1:30" s="29" customFormat="1" ht="15">
      <c r="A31" s="56"/>
      <c r="I31" s="57"/>
      <c r="K31" s="58"/>
      <c r="N31" s="59"/>
      <c r="O31" s="60"/>
      <c r="P31" s="60"/>
      <c r="Q31" s="60"/>
      <c r="R31" s="61"/>
      <c r="S31" s="60"/>
      <c r="T31" s="60"/>
      <c r="U31"/>
      <c r="V31" s="60"/>
      <c r="W31" s="62"/>
      <c r="Y31" s="134"/>
      <c r="AD31"/>
    </row>
    <row r="32" spans="1:30" s="29" customFormat="1" ht="15">
      <c r="A32" s="56"/>
      <c r="I32" s="57"/>
      <c r="K32" s="58"/>
      <c r="N32" s="59"/>
      <c r="O32" s="60"/>
      <c r="P32" s="60"/>
      <c r="Q32" s="60"/>
      <c r="R32" s="61"/>
      <c r="S32" s="60"/>
      <c r="T32" s="60"/>
      <c r="U32" s="148"/>
      <c r="V32" s="60"/>
      <c r="W32" s="62"/>
      <c r="Y32" s="134"/>
      <c r="AD32" s="148"/>
    </row>
    <row r="33" spans="1:37" s="29" customFormat="1" ht="15">
      <c r="A33" s="190" t="s">
        <v>182</v>
      </c>
      <c r="B33" s="187"/>
      <c r="C33" s="187"/>
      <c r="I33" s="57"/>
      <c r="J33" s="63"/>
      <c r="K33" s="144"/>
      <c r="L33" s="145"/>
      <c r="M33" s="146"/>
      <c r="N33" s="146"/>
      <c r="O33" s="147"/>
      <c r="P33" s="147"/>
      <c r="Q33" s="147"/>
      <c r="R33" s="147"/>
      <c r="S33" s="147"/>
      <c r="T33" s="144"/>
      <c r="U33" s="148"/>
      <c r="V33" s="149"/>
      <c r="W33" s="150"/>
      <c r="X33" s="151"/>
      <c r="Y33" s="152"/>
      <c r="Z33" s="151"/>
      <c r="AA33" s="149"/>
      <c r="AB33" s="150"/>
      <c r="AC33" s="144"/>
      <c r="AD33" s="148"/>
      <c r="AE33" s="147"/>
      <c r="AF33" s="147"/>
      <c r="AG33" s="147"/>
      <c r="AH33" s="147"/>
      <c r="AI33" s="147"/>
      <c r="AJ33" s="147"/>
      <c r="AK33" s="147"/>
    </row>
    <row r="34" spans="1:30" s="29" customFormat="1" ht="15">
      <c r="A34" s="189" t="s">
        <v>183</v>
      </c>
      <c r="B34" s="188"/>
      <c r="C34" s="188"/>
      <c r="I34" s="57"/>
      <c r="K34" s="58"/>
      <c r="N34" s="59"/>
      <c r="O34" s="60"/>
      <c r="P34" s="60"/>
      <c r="Q34" s="60"/>
      <c r="R34" s="61"/>
      <c r="S34" s="60"/>
      <c r="T34" s="60"/>
      <c r="U34" s="148"/>
      <c r="V34" s="60"/>
      <c r="W34" s="62"/>
      <c r="Y34" s="134"/>
      <c r="AD34" s="148"/>
    </row>
    <row r="35" spans="1:30" s="29" customFormat="1" ht="15">
      <c r="A35" s="56"/>
      <c r="I35" s="57"/>
      <c r="K35" s="58"/>
      <c r="N35" s="59"/>
      <c r="O35" s="60"/>
      <c r="P35" s="60"/>
      <c r="Q35" s="60"/>
      <c r="R35" s="61"/>
      <c r="S35" s="60"/>
      <c r="T35" s="60"/>
      <c r="U35" s="148"/>
      <c r="V35" s="60"/>
      <c r="W35" s="62"/>
      <c r="Y35" s="134"/>
      <c r="AD35" s="148"/>
    </row>
    <row r="36" spans="1:37" s="29" customFormat="1" ht="15">
      <c r="A36" s="56"/>
      <c r="I36" s="57"/>
      <c r="J36" s="153"/>
      <c r="K36" s="144"/>
      <c r="L36" s="145"/>
      <c r="M36" s="146"/>
      <c r="N36" s="146"/>
      <c r="O36" s="147"/>
      <c r="P36" s="147"/>
      <c r="Q36" s="147"/>
      <c r="R36" s="147"/>
      <c r="S36" s="147"/>
      <c r="T36" s="144"/>
      <c r="U36" s="148"/>
      <c r="V36" s="149"/>
      <c r="W36" s="150"/>
      <c r="X36" s="151"/>
      <c r="Y36" s="152"/>
      <c r="Z36" s="151"/>
      <c r="AA36" s="149"/>
      <c r="AB36" s="150"/>
      <c r="AC36" s="144"/>
      <c r="AD36" s="148"/>
      <c r="AE36" s="147"/>
      <c r="AF36" s="147"/>
      <c r="AG36" s="147"/>
      <c r="AH36" s="147"/>
      <c r="AI36" s="147"/>
      <c r="AJ36" s="147"/>
      <c r="AK36" s="147"/>
    </row>
    <row r="37" spans="1:30" s="29" customFormat="1" ht="15">
      <c r="A37" s="56"/>
      <c r="I37" s="57"/>
      <c r="J37" s="119"/>
      <c r="K37" s="58"/>
      <c r="N37" s="59"/>
      <c r="O37" s="60"/>
      <c r="P37" s="60"/>
      <c r="Q37" s="60"/>
      <c r="R37" s="61"/>
      <c r="S37" s="60"/>
      <c r="T37" s="60"/>
      <c r="U37" s="148"/>
      <c r="V37" s="60"/>
      <c r="W37" s="62"/>
      <c r="Y37" s="134"/>
      <c r="AD37" s="148"/>
    </row>
    <row r="38" spans="1:37" s="29" customFormat="1" ht="15">
      <c r="A38" s="56"/>
      <c r="I38" s="57"/>
      <c r="J38" s="153"/>
      <c r="K38" s="144"/>
      <c r="L38" s="145"/>
      <c r="M38" s="146"/>
      <c r="N38" s="146"/>
      <c r="O38" s="147"/>
      <c r="P38" s="147"/>
      <c r="Q38" s="147"/>
      <c r="R38" s="147"/>
      <c r="S38" s="147"/>
      <c r="T38" s="144"/>
      <c r="U38" s="148"/>
      <c r="V38" s="149"/>
      <c r="W38" s="150"/>
      <c r="X38" s="151"/>
      <c r="Y38" s="152"/>
      <c r="Z38" s="151"/>
      <c r="AA38" s="149"/>
      <c r="AB38" s="150"/>
      <c r="AC38" s="144"/>
      <c r="AD38" s="148"/>
      <c r="AE38" s="147"/>
      <c r="AF38" s="147"/>
      <c r="AG38" s="147"/>
      <c r="AH38" s="147"/>
      <c r="AI38" s="147"/>
      <c r="AJ38" s="147"/>
      <c r="AK38" s="147"/>
    </row>
    <row r="39" spans="1:30" s="29" customFormat="1" ht="15">
      <c r="A39" s="56"/>
      <c r="I39" s="57"/>
      <c r="J39" s="119"/>
      <c r="K39" s="58"/>
      <c r="N39" s="59"/>
      <c r="O39" s="60"/>
      <c r="P39" s="60"/>
      <c r="Q39" s="60"/>
      <c r="R39" s="61"/>
      <c r="S39" s="60"/>
      <c r="T39" s="60"/>
      <c r="U39" s="148"/>
      <c r="V39" s="60"/>
      <c r="W39" s="62"/>
      <c r="Y39" s="134"/>
      <c r="AD39" s="148"/>
    </row>
    <row r="40" spans="1:30" s="29" customFormat="1" ht="15">
      <c r="A40" s="56"/>
      <c r="I40" s="57"/>
      <c r="J40" s="119"/>
      <c r="K40" s="58"/>
      <c r="N40" s="59"/>
      <c r="O40" s="60"/>
      <c r="P40" s="60"/>
      <c r="Q40" s="60"/>
      <c r="R40" s="61"/>
      <c r="S40" s="60"/>
      <c r="T40" s="60"/>
      <c r="U40" s="148"/>
      <c r="V40" s="60"/>
      <c r="W40" s="62"/>
      <c r="Y40" s="134"/>
      <c r="AD40" s="148"/>
    </row>
    <row r="41" spans="1:37" s="29" customFormat="1" ht="15">
      <c r="A41" s="56"/>
      <c r="I41" s="57"/>
      <c r="J41" s="153"/>
      <c r="K41" s="144"/>
      <c r="L41" s="145"/>
      <c r="M41" s="146"/>
      <c r="N41" s="146"/>
      <c r="O41" s="147"/>
      <c r="P41" s="147"/>
      <c r="Q41" s="147"/>
      <c r="R41" s="147"/>
      <c r="S41" s="147"/>
      <c r="T41" s="144"/>
      <c r="U41" s="148"/>
      <c r="V41" s="149"/>
      <c r="W41" s="150"/>
      <c r="X41" s="151"/>
      <c r="Y41" s="152"/>
      <c r="Z41" s="151"/>
      <c r="AA41" s="149"/>
      <c r="AB41" s="150"/>
      <c r="AC41" s="144"/>
      <c r="AD41" s="148"/>
      <c r="AE41" s="147"/>
      <c r="AF41" s="147"/>
      <c r="AG41" s="147"/>
      <c r="AH41" s="147"/>
      <c r="AI41" s="147"/>
      <c r="AJ41" s="147"/>
      <c r="AK41" s="147"/>
    </row>
    <row r="42" spans="1:30" s="29" customFormat="1" ht="15">
      <c r="A42" s="56"/>
      <c r="I42" s="57"/>
      <c r="J42" s="119"/>
      <c r="K42" s="58"/>
      <c r="N42" s="59"/>
      <c r="O42" s="60"/>
      <c r="P42" s="60"/>
      <c r="Q42" s="60"/>
      <c r="R42" s="61"/>
      <c r="S42" s="60"/>
      <c r="T42" s="60"/>
      <c r="U42" s="148"/>
      <c r="V42" s="60"/>
      <c r="W42" s="62"/>
      <c r="Y42" s="134"/>
      <c r="AD42" s="148"/>
    </row>
    <row r="43" spans="1:37" s="29" customFormat="1" ht="15">
      <c r="A43" s="56"/>
      <c r="I43" s="57"/>
      <c r="J43" s="153"/>
      <c r="K43" s="144"/>
      <c r="L43" s="145"/>
      <c r="M43" s="146"/>
      <c r="N43" s="146"/>
      <c r="O43" s="147"/>
      <c r="P43" s="147"/>
      <c r="Q43" s="147"/>
      <c r="R43" s="147"/>
      <c r="S43" s="147"/>
      <c r="T43" s="144"/>
      <c r="U43" s="148"/>
      <c r="V43" s="149"/>
      <c r="W43" s="150"/>
      <c r="X43" s="151"/>
      <c r="Y43" s="152"/>
      <c r="Z43" s="151"/>
      <c r="AA43" s="149"/>
      <c r="AB43" s="150"/>
      <c r="AC43" s="144"/>
      <c r="AD43" s="148"/>
      <c r="AE43" s="147"/>
      <c r="AF43" s="147"/>
      <c r="AG43" s="147"/>
      <c r="AH43" s="147"/>
      <c r="AI43" s="147"/>
      <c r="AJ43" s="147"/>
      <c r="AK43" s="147"/>
    </row>
    <row r="44" spans="1:30" s="29" customFormat="1" ht="15">
      <c r="A44" s="56"/>
      <c r="I44" s="57"/>
      <c r="K44" s="58"/>
      <c r="N44" s="59"/>
      <c r="O44" s="60"/>
      <c r="P44" s="60"/>
      <c r="Q44" s="60"/>
      <c r="R44" s="61"/>
      <c r="S44" s="60"/>
      <c r="T44" s="60"/>
      <c r="U44" s="148"/>
      <c r="V44" s="60"/>
      <c r="W44" s="62"/>
      <c r="Y44" s="134"/>
      <c r="AB44" s="63"/>
      <c r="AC44" s="63"/>
      <c r="AD44" s="148"/>
    </row>
    <row r="45" spans="1:30" s="29" customFormat="1" ht="15">
      <c r="A45" s="64"/>
      <c r="C45" s="63"/>
      <c r="F45" s="63"/>
      <c r="I45" s="57"/>
      <c r="K45" s="58"/>
      <c r="N45" s="59"/>
      <c r="O45" s="60"/>
      <c r="P45" s="60"/>
      <c r="Q45" s="60"/>
      <c r="R45" s="61"/>
      <c r="S45" s="60"/>
      <c r="T45" s="60"/>
      <c r="U45" s="148"/>
      <c r="V45" s="60"/>
      <c r="W45" s="62"/>
      <c r="Y45" s="134"/>
      <c r="AD45" s="148"/>
    </row>
    <row r="46" spans="1:37" s="29" customFormat="1" ht="15">
      <c r="A46" s="64"/>
      <c r="C46" s="63"/>
      <c r="F46" s="63"/>
      <c r="I46" s="57"/>
      <c r="J46" s="63"/>
      <c r="K46" s="144"/>
      <c r="L46" s="145"/>
      <c r="M46" s="146"/>
      <c r="N46" s="146"/>
      <c r="O46" s="147"/>
      <c r="P46" s="147"/>
      <c r="Q46" s="147"/>
      <c r="R46" s="147"/>
      <c r="S46" s="147"/>
      <c r="T46" s="144"/>
      <c r="U46" s="148"/>
      <c r="V46" s="149"/>
      <c r="W46" s="150"/>
      <c r="X46" s="151"/>
      <c r="Y46" s="152"/>
      <c r="Z46" s="151"/>
      <c r="AA46" s="149"/>
      <c r="AB46" s="150"/>
      <c r="AC46" s="144"/>
      <c r="AD46" s="148"/>
      <c r="AE46" s="147"/>
      <c r="AF46" s="147"/>
      <c r="AG46" s="147"/>
      <c r="AH46" s="147"/>
      <c r="AI46" s="147"/>
      <c r="AJ46" s="147"/>
      <c r="AK46" s="147"/>
    </row>
    <row r="47" spans="1:30" s="29" customFormat="1" ht="15">
      <c r="A47" s="64"/>
      <c r="C47" s="63"/>
      <c r="F47" s="63"/>
      <c r="I47" s="57"/>
      <c r="K47" s="58"/>
      <c r="N47" s="59"/>
      <c r="O47" s="60"/>
      <c r="P47" s="60"/>
      <c r="Q47" s="60"/>
      <c r="R47" s="61"/>
      <c r="S47" s="60"/>
      <c r="T47" s="60"/>
      <c r="U47" s="148"/>
      <c r="V47" s="60"/>
      <c r="W47" s="62"/>
      <c r="Y47" s="134"/>
      <c r="AD47" s="148"/>
    </row>
    <row r="48" spans="1:37" s="29" customFormat="1" ht="15">
      <c r="A48" s="64"/>
      <c r="C48" s="63"/>
      <c r="F48" s="63"/>
      <c r="I48" s="57"/>
      <c r="J48" s="63"/>
      <c r="K48" s="144"/>
      <c r="L48" s="145"/>
      <c r="M48" s="146"/>
      <c r="N48" s="146"/>
      <c r="O48" s="147"/>
      <c r="P48" s="147"/>
      <c r="Q48" s="147"/>
      <c r="R48" s="147"/>
      <c r="S48" s="147"/>
      <c r="T48" s="144"/>
      <c r="U48" s="148"/>
      <c r="V48" s="149"/>
      <c r="W48" s="150"/>
      <c r="X48" s="151"/>
      <c r="Y48" s="152"/>
      <c r="Z48" s="151"/>
      <c r="AA48" s="149"/>
      <c r="AB48" s="150"/>
      <c r="AC48" s="144"/>
      <c r="AD48" s="148"/>
      <c r="AE48" s="147"/>
      <c r="AF48" s="147"/>
      <c r="AG48" s="147"/>
      <c r="AH48" s="147"/>
      <c r="AI48" s="147"/>
      <c r="AJ48" s="147"/>
      <c r="AK48" s="147"/>
    </row>
    <row r="49" spans="1:30" s="29" customFormat="1" ht="15">
      <c r="A49" s="64"/>
      <c r="C49" s="63"/>
      <c r="F49" s="63"/>
      <c r="I49" s="57"/>
      <c r="K49" s="58"/>
      <c r="N49" s="59"/>
      <c r="O49" s="60"/>
      <c r="P49" s="60"/>
      <c r="Q49" s="60"/>
      <c r="R49" s="61"/>
      <c r="S49" s="60"/>
      <c r="T49" s="60"/>
      <c r="U49" s="148"/>
      <c r="V49" s="60"/>
      <c r="W49" s="62"/>
      <c r="Y49" s="134"/>
      <c r="AD49" s="148"/>
    </row>
    <row r="50" spans="1:37" s="63" customFormat="1" ht="15">
      <c r="A50" s="64"/>
      <c r="B50" s="29"/>
      <c r="D50" s="29"/>
      <c r="E50" s="29"/>
      <c r="G50" s="29"/>
      <c r="H50" s="29"/>
      <c r="I50" s="57"/>
      <c r="J50" s="29"/>
      <c r="K50" s="58"/>
      <c r="L50" s="29"/>
      <c r="M50" s="29"/>
      <c r="N50" s="59"/>
      <c r="O50" s="60"/>
      <c r="P50" s="60"/>
      <c r="Q50" s="60"/>
      <c r="R50" s="61"/>
      <c r="S50" s="60"/>
      <c r="T50" s="60"/>
      <c r="U50" s="148"/>
      <c r="V50" s="60"/>
      <c r="W50" s="62"/>
      <c r="X50" s="29"/>
      <c r="Y50" s="134"/>
      <c r="Z50" s="29"/>
      <c r="AA50" s="29"/>
      <c r="AD50" s="148"/>
      <c r="AE50" s="29"/>
      <c r="AF50" s="29"/>
      <c r="AG50" s="29"/>
      <c r="AH50" s="29"/>
      <c r="AI50" s="29"/>
      <c r="AJ50" s="29"/>
      <c r="AK50" s="29"/>
    </row>
    <row r="51" spans="1:37" s="29" customFormat="1" ht="15">
      <c r="A51" s="64"/>
      <c r="C51" s="63"/>
      <c r="F51" s="63"/>
      <c r="I51" s="57"/>
      <c r="J51" s="63"/>
      <c r="K51" s="144"/>
      <c r="L51" s="145"/>
      <c r="M51" s="146"/>
      <c r="N51" s="146"/>
      <c r="O51" s="147"/>
      <c r="P51" s="147"/>
      <c r="Q51" s="147"/>
      <c r="R51" s="147"/>
      <c r="S51" s="147"/>
      <c r="T51" s="144"/>
      <c r="U51" s="148"/>
      <c r="V51" s="149"/>
      <c r="W51" s="150"/>
      <c r="X51" s="151"/>
      <c r="Y51" s="152"/>
      <c r="Z51" s="151"/>
      <c r="AA51" s="149"/>
      <c r="AB51" s="150"/>
      <c r="AC51" s="144"/>
      <c r="AD51" s="148"/>
      <c r="AE51" s="147"/>
      <c r="AF51" s="147"/>
      <c r="AG51" s="147"/>
      <c r="AH51" s="147"/>
      <c r="AI51" s="147"/>
      <c r="AJ51" s="147"/>
      <c r="AK51" s="147"/>
    </row>
    <row r="52" spans="9:51" ht="15">
      <c r="I52" s="57"/>
      <c r="J52" s="29"/>
      <c r="K52" s="58"/>
      <c r="L52" s="29"/>
      <c r="M52" s="29"/>
      <c r="N52" s="59"/>
      <c r="O52" s="60"/>
      <c r="P52" s="60"/>
      <c r="Q52" s="60"/>
      <c r="R52" s="61"/>
      <c r="S52" s="60"/>
      <c r="T52" s="60"/>
      <c r="U52" s="148"/>
      <c r="V52" s="60"/>
      <c r="W52" s="62"/>
      <c r="X52" s="29"/>
      <c r="Y52" s="134"/>
      <c r="Z52" s="29"/>
      <c r="AA52" s="29"/>
      <c r="AB52" s="29"/>
      <c r="AC52" s="29"/>
      <c r="AD52" s="148"/>
      <c r="AE52" s="29"/>
      <c r="AF52" s="29"/>
      <c r="AG52" s="29"/>
      <c r="AH52" s="29"/>
      <c r="AI52" s="29"/>
      <c r="AJ52" s="29"/>
      <c r="AK52" s="29"/>
      <c r="AL52" s="29"/>
      <c r="AY52" s="7"/>
    </row>
    <row r="53" spans="9:51" ht="15.75" thickBot="1">
      <c r="I53" s="57"/>
      <c r="J53" s="63"/>
      <c r="K53" s="144"/>
      <c r="L53" s="145"/>
      <c r="M53" s="146"/>
      <c r="N53" s="146"/>
      <c r="O53" s="147"/>
      <c r="P53" s="147"/>
      <c r="Q53" s="147"/>
      <c r="R53" s="147"/>
      <c r="S53" s="147"/>
      <c r="T53" s="144"/>
      <c r="U53" s="148"/>
      <c r="V53" s="149"/>
      <c r="W53" s="150"/>
      <c r="X53" s="151"/>
      <c r="Y53" s="154"/>
      <c r="Z53" s="151"/>
      <c r="AA53" s="149"/>
      <c r="AB53" s="150"/>
      <c r="AC53" s="144"/>
      <c r="AD53" s="148"/>
      <c r="AE53" s="147"/>
      <c r="AF53" s="147"/>
      <c r="AG53" s="147"/>
      <c r="AH53" s="147"/>
      <c r="AI53" s="147"/>
      <c r="AJ53" s="147"/>
      <c r="AK53" s="147"/>
      <c r="AL53" s="29"/>
      <c r="AY53" s="7"/>
    </row>
    <row r="54" spans="9:51" ht="15">
      <c r="I54" s="57"/>
      <c r="J54" s="29"/>
      <c r="K54" s="58"/>
      <c r="L54" s="29"/>
      <c r="M54" s="29"/>
      <c r="N54" s="29"/>
      <c r="O54" s="60"/>
      <c r="P54" s="60"/>
      <c r="Q54" s="60"/>
      <c r="R54" s="61"/>
      <c r="S54" s="60"/>
      <c r="T54" s="60"/>
      <c r="U54" s="60"/>
      <c r="V54" s="60"/>
      <c r="W54" s="62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Y54" s="7"/>
    </row>
    <row r="55" spans="9:51" ht="15">
      <c r="I55" s="57"/>
      <c r="J55" s="29"/>
      <c r="K55" s="58"/>
      <c r="L55" s="29"/>
      <c r="M55" s="29"/>
      <c r="N55" s="29"/>
      <c r="O55" s="60"/>
      <c r="P55" s="60"/>
      <c r="Q55" s="60"/>
      <c r="R55" s="61"/>
      <c r="S55" s="60"/>
      <c r="T55" s="60"/>
      <c r="U55" s="60"/>
      <c r="V55" s="60"/>
      <c r="W55" s="62"/>
      <c r="X55" s="29"/>
      <c r="Y55" s="29"/>
      <c r="Z55" s="29"/>
      <c r="AA55" s="29"/>
      <c r="AB55" s="63"/>
      <c r="AC55" s="63"/>
      <c r="AD55" s="63"/>
      <c r="AE55" s="29"/>
      <c r="AF55" s="29"/>
      <c r="AG55" s="29"/>
      <c r="AH55" s="29"/>
      <c r="AI55" s="29"/>
      <c r="AJ55" s="29"/>
      <c r="AK55" s="29"/>
      <c r="AL55" s="29"/>
      <c r="AY55" s="7"/>
    </row>
    <row r="56" spans="9:51" ht="15">
      <c r="I56" s="57"/>
      <c r="J56" s="29"/>
      <c r="K56" s="58"/>
      <c r="L56" s="29"/>
      <c r="M56" s="29"/>
      <c r="N56" s="29"/>
      <c r="O56" s="60"/>
      <c r="P56" s="60"/>
      <c r="Q56" s="60"/>
      <c r="R56" s="61"/>
      <c r="S56" s="60"/>
      <c r="T56" s="60"/>
      <c r="U56" s="60"/>
      <c r="V56" s="60"/>
      <c r="W56" s="62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Y56" s="7"/>
    </row>
    <row r="57" spans="9:51" ht="15">
      <c r="I57" s="57"/>
      <c r="J57" s="29"/>
      <c r="K57" s="58"/>
      <c r="L57" s="29"/>
      <c r="M57" s="29"/>
      <c r="N57" s="29"/>
      <c r="O57" s="60"/>
      <c r="P57" s="60"/>
      <c r="Q57" s="60"/>
      <c r="R57" s="61"/>
      <c r="S57" s="60"/>
      <c r="T57" s="60"/>
      <c r="U57" s="60"/>
      <c r="V57" s="60"/>
      <c r="W57" s="62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Y57" s="7"/>
    </row>
    <row r="58" spans="9:51" ht="15">
      <c r="I58" s="57"/>
      <c r="J58" s="29"/>
      <c r="K58" s="58"/>
      <c r="L58" s="29"/>
      <c r="M58" s="29"/>
      <c r="N58" s="29"/>
      <c r="O58" s="60"/>
      <c r="P58" s="60"/>
      <c r="Q58" s="60"/>
      <c r="R58" s="61"/>
      <c r="S58" s="60"/>
      <c r="T58" s="60"/>
      <c r="U58" s="60"/>
      <c r="V58" s="60"/>
      <c r="W58" s="62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Y58" s="7"/>
    </row>
    <row r="59" spans="2:38" s="9" customFormat="1" ht="15">
      <c r="B59" s="65"/>
      <c r="C59" s="65"/>
      <c r="I59" s="157"/>
      <c r="J59" s="63"/>
      <c r="K59" s="58"/>
      <c r="L59" s="63"/>
      <c r="M59" s="63"/>
      <c r="N59" s="63"/>
      <c r="O59" s="60"/>
      <c r="P59" s="60"/>
      <c r="Q59" s="60"/>
      <c r="R59" s="61"/>
      <c r="S59" s="60"/>
      <c r="T59" s="60"/>
      <c r="U59" s="60"/>
      <c r="V59" s="60"/>
      <c r="W59" s="62"/>
      <c r="X59" s="63"/>
      <c r="Y59" s="63"/>
      <c r="Z59" s="63"/>
      <c r="AA59" s="63"/>
      <c r="AB59" s="29"/>
      <c r="AC59" s="29"/>
      <c r="AD59" s="29"/>
      <c r="AE59" s="63"/>
      <c r="AF59" s="63"/>
      <c r="AG59" s="63"/>
      <c r="AH59" s="63"/>
      <c r="AI59" s="63"/>
      <c r="AJ59" s="63"/>
      <c r="AK59" s="63"/>
      <c r="AL59" s="63"/>
    </row>
    <row r="60" spans="9:51" ht="15">
      <c r="I60" s="57"/>
      <c r="J60" s="29"/>
      <c r="K60" s="58"/>
      <c r="L60" s="29"/>
      <c r="M60" s="29"/>
      <c r="N60" s="29"/>
      <c r="O60" s="60"/>
      <c r="P60" s="60"/>
      <c r="Q60" s="60"/>
      <c r="R60" s="61"/>
      <c r="S60" s="60"/>
      <c r="T60" s="60"/>
      <c r="U60" s="60"/>
      <c r="V60" s="60"/>
      <c r="W60" s="62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Y60" s="7"/>
    </row>
    <row r="61" spans="9:51" ht="15">
      <c r="I61" s="57"/>
      <c r="J61" s="29"/>
      <c r="K61" s="29"/>
      <c r="L61" s="29"/>
      <c r="M61" s="29"/>
      <c r="N61" s="29"/>
      <c r="O61" s="29"/>
      <c r="P61" s="29"/>
      <c r="Q61" s="29"/>
      <c r="R61" s="158"/>
      <c r="S61" s="29"/>
      <c r="T61" s="29"/>
      <c r="U61" s="29"/>
      <c r="V61" s="29"/>
      <c r="W61" s="15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Y61" s="7"/>
    </row>
    <row r="62" spans="9:51" ht="15">
      <c r="I62" s="57"/>
      <c r="J62" s="29"/>
      <c r="K62" s="29"/>
      <c r="L62" s="29"/>
      <c r="M62" s="29"/>
      <c r="N62" s="29"/>
      <c r="O62" s="29"/>
      <c r="P62" s="29"/>
      <c r="Q62" s="29"/>
      <c r="R62" s="158"/>
      <c r="S62" s="29"/>
      <c r="T62" s="29"/>
      <c r="U62" s="29"/>
      <c r="V62" s="29"/>
      <c r="W62" s="15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Y62" s="7"/>
    </row>
    <row r="63" spans="9:51" ht="15">
      <c r="I63" s="57"/>
      <c r="J63" s="29"/>
      <c r="K63" s="29"/>
      <c r="L63" s="29"/>
      <c r="M63" s="29"/>
      <c r="N63" s="29"/>
      <c r="O63" s="29"/>
      <c r="P63" s="29"/>
      <c r="Q63" s="29"/>
      <c r="R63" s="158"/>
      <c r="S63" s="29"/>
      <c r="T63" s="29"/>
      <c r="U63" s="29"/>
      <c r="V63" s="29"/>
      <c r="W63" s="15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Y63" s="7"/>
    </row>
    <row r="64" spans="9:51" ht="15">
      <c r="I64" s="57"/>
      <c r="J64" s="29"/>
      <c r="K64" s="29"/>
      <c r="L64" s="29"/>
      <c r="M64" s="29"/>
      <c r="N64" s="29"/>
      <c r="O64" s="29"/>
      <c r="P64" s="29"/>
      <c r="Q64" s="29"/>
      <c r="R64" s="158"/>
      <c r="S64" s="29"/>
      <c r="T64" s="29"/>
      <c r="U64" s="29"/>
      <c r="V64" s="29"/>
      <c r="W64" s="15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Y64" s="7"/>
    </row>
    <row r="65" spans="9:51" ht="15">
      <c r="I65" s="57"/>
      <c r="J65" s="29"/>
      <c r="K65" s="29"/>
      <c r="L65" s="29"/>
      <c r="M65" s="29"/>
      <c r="N65" s="29"/>
      <c r="O65" s="29"/>
      <c r="P65" s="29"/>
      <c r="Q65" s="29"/>
      <c r="R65" s="158"/>
      <c r="S65" s="29"/>
      <c r="T65" s="29"/>
      <c r="U65" s="29"/>
      <c r="V65" s="29"/>
      <c r="W65" s="15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Y65" s="7"/>
    </row>
    <row r="66" spans="9:51" ht="15">
      <c r="I66" s="57"/>
      <c r="J66" s="29"/>
      <c r="K66" s="29"/>
      <c r="L66" s="29"/>
      <c r="M66" s="29"/>
      <c r="N66" s="29"/>
      <c r="O66" s="29"/>
      <c r="P66" s="29"/>
      <c r="Q66" s="29"/>
      <c r="R66" s="158"/>
      <c r="S66" s="29"/>
      <c r="T66" s="29"/>
      <c r="U66" s="29"/>
      <c r="V66" s="29"/>
      <c r="W66" s="15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Y66" s="7"/>
    </row>
    <row r="67" spans="13:51" ht="15">
      <c r="M67" s="7"/>
      <c r="N67" s="7"/>
      <c r="AE67" s="7"/>
      <c r="AF67" s="7"/>
      <c r="AG67" s="7"/>
      <c r="AH67" s="7"/>
      <c r="AY67" s="7"/>
    </row>
    <row r="68" spans="13:51" ht="15">
      <c r="M68" s="7"/>
      <c r="N68" s="7"/>
      <c r="AE68" s="7"/>
      <c r="AF68" s="7"/>
      <c r="AG68" s="7"/>
      <c r="AH68" s="7"/>
      <c r="AY68" s="7"/>
    </row>
    <row r="69" spans="13:51" ht="15">
      <c r="M69" s="7"/>
      <c r="N69" s="7"/>
      <c r="AE69" s="7"/>
      <c r="AF69" s="7"/>
      <c r="AG69" s="7"/>
      <c r="AH69" s="7"/>
      <c r="AY69" s="7"/>
    </row>
    <row r="70" spans="13:51" ht="15">
      <c r="M70" s="7"/>
      <c r="N70" s="7"/>
      <c r="AE70" s="7"/>
      <c r="AF70" s="7"/>
      <c r="AG70" s="7"/>
      <c r="AH70" s="7"/>
      <c r="AY70" s="7"/>
    </row>
    <row r="71" spans="13:51" ht="15">
      <c r="M71" s="7"/>
      <c r="N71" s="7"/>
      <c r="AE71" s="7"/>
      <c r="AF71" s="7"/>
      <c r="AG71" s="7"/>
      <c r="AH71" s="7"/>
      <c r="AY71" s="7"/>
    </row>
    <row r="72" spans="13:51" ht="15">
      <c r="M72" s="7"/>
      <c r="N72" s="7"/>
      <c r="AE72" s="7"/>
      <c r="AF72" s="7"/>
      <c r="AG72" s="7"/>
      <c r="AH72" s="7"/>
      <c r="AY72" s="7"/>
    </row>
    <row r="73" spans="13:51" ht="15">
      <c r="M73" s="7"/>
      <c r="N73" s="7"/>
      <c r="AE73" s="7"/>
      <c r="AF73" s="7"/>
      <c r="AG73" s="7"/>
      <c r="AH73" s="7"/>
      <c r="AY73" s="7"/>
    </row>
    <row r="74" spans="13:51" ht="15">
      <c r="M74" s="7"/>
      <c r="N74" s="7"/>
      <c r="AE74" s="7"/>
      <c r="AF74" s="7"/>
      <c r="AG74" s="7"/>
      <c r="AH74" s="7"/>
      <c r="AY74" s="7"/>
    </row>
    <row r="75" spans="13:51" ht="15">
      <c r="M75" s="7"/>
      <c r="N75" s="7"/>
      <c r="AE75" s="7"/>
      <c r="AF75" s="7"/>
      <c r="AG75" s="7"/>
      <c r="AH75" s="7"/>
      <c r="AY75" s="7"/>
    </row>
    <row r="76" spans="13:51" ht="15">
      <c r="M76" s="7"/>
      <c r="N76" s="7"/>
      <c r="AE76" s="7"/>
      <c r="AF76" s="7"/>
      <c r="AG76" s="7"/>
      <c r="AH76" s="7"/>
      <c r="AY76" s="7"/>
    </row>
    <row r="77" spans="13:51" ht="15">
      <c r="M77" s="7"/>
      <c r="N77" s="7"/>
      <c r="AE77" s="7"/>
      <c r="AF77" s="7"/>
      <c r="AG77" s="7"/>
      <c r="AH77" s="7"/>
      <c r="AY77" s="7"/>
    </row>
    <row r="78" spans="13:51" ht="15">
      <c r="M78" s="7"/>
      <c r="N78" s="7"/>
      <c r="AE78" s="7"/>
      <c r="AF78" s="7"/>
      <c r="AG78" s="7"/>
      <c r="AH78" s="7"/>
      <c r="AY78" s="7"/>
    </row>
    <row r="79" spans="13:51" ht="15">
      <c r="M79" s="7"/>
      <c r="N79" s="7"/>
      <c r="AE79" s="7"/>
      <c r="AF79" s="7"/>
      <c r="AG79" s="7"/>
      <c r="AH79" s="7"/>
      <c r="AY79" s="7"/>
    </row>
  </sheetData>
  <mergeCells count="16">
    <mergeCell ref="A1:I1"/>
    <mergeCell ref="A2:I2"/>
    <mergeCell ref="A3:I3"/>
    <mergeCell ref="H6:I6"/>
    <mergeCell ref="H8:I8"/>
    <mergeCell ref="AT10:AW10"/>
    <mergeCell ref="V8:AC8"/>
    <mergeCell ref="AE8:AH8"/>
    <mergeCell ref="AJ8:AJ9"/>
    <mergeCell ref="A9:N9"/>
    <mergeCell ref="O9:S9"/>
    <mergeCell ref="V9:W9"/>
    <mergeCell ref="AA9:AC9"/>
    <mergeCell ref="AE9:AG9"/>
    <mergeCell ref="AH9:AI9"/>
    <mergeCell ref="O8:T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79"/>
  <sheetViews>
    <sheetView workbookViewId="0" topLeftCell="E1">
      <selection activeCell="A9" sqref="A9:N9"/>
    </sheetView>
  </sheetViews>
  <sheetFormatPr defaultColWidth="9.140625" defaultRowHeight="15"/>
  <cols>
    <col min="1" max="1" width="13.140625" style="7" customWidth="1"/>
    <col min="2" max="2" width="9.28125" style="49" customWidth="1"/>
    <col min="3" max="3" width="11.28125" style="49" customWidth="1"/>
    <col min="4" max="4" width="34.7109375" style="7" customWidth="1"/>
    <col min="5" max="5" width="17.00390625" style="7" bestFit="1" customWidth="1"/>
    <col min="6" max="7" width="9.140625" style="7" customWidth="1"/>
    <col min="8" max="8" width="34.28125" style="7" bestFit="1" customWidth="1"/>
    <col min="9" max="9" width="9.140625" style="49" customWidth="1"/>
    <col min="10" max="10" width="11.28125" style="7" customWidth="1"/>
    <col min="11" max="11" width="12.57421875" style="7" bestFit="1" customWidth="1"/>
    <col min="12" max="12" width="12.57421875" style="7" customWidth="1"/>
    <col min="13" max="13" width="10.28125" style="6" customWidth="1"/>
    <col min="14" max="14" width="11.57421875" style="6" bestFit="1" customWidth="1"/>
    <col min="15" max="16" width="11.57421875" style="7" bestFit="1" customWidth="1"/>
    <col min="17" max="17" width="15.00390625" style="7" customWidth="1"/>
    <col min="18" max="18" width="12.421875" style="36" bestFit="1" customWidth="1"/>
    <col min="19" max="19" width="14.8515625" style="7" bestFit="1" customWidth="1"/>
    <col min="20" max="20" width="15.00390625" style="7" customWidth="1"/>
    <col min="21" max="21" width="4.421875" style="7" customWidth="1"/>
    <col min="22" max="22" width="11.57421875" style="7" bestFit="1" customWidth="1"/>
    <col min="23" max="23" width="11.28125" style="50" bestFit="1" customWidth="1"/>
    <col min="24" max="24" width="15.00390625" style="7" bestFit="1" customWidth="1"/>
    <col min="25" max="26" width="11.57421875" style="7" bestFit="1" customWidth="1"/>
    <col min="27" max="27" width="10.57421875" style="7" bestFit="1" customWidth="1"/>
    <col min="28" max="28" width="8.8515625" style="7" bestFit="1" customWidth="1"/>
    <col min="29" max="29" width="11.57421875" style="7" bestFit="1" customWidth="1"/>
    <col min="30" max="30" width="4.421875" style="7" customWidth="1"/>
    <col min="31" max="31" width="11.57421875" style="66" bestFit="1" customWidth="1"/>
    <col min="32" max="32" width="11.57421875" style="36" bestFit="1" customWidth="1"/>
    <col min="33" max="33" width="11.57421875" style="66" bestFit="1" customWidth="1"/>
    <col min="34" max="34" width="11.8515625" style="66" customWidth="1"/>
    <col min="35" max="35" width="15.28125" style="7" bestFit="1" customWidth="1"/>
    <col min="36" max="36" width="11.8515625" style="7" customWidth="1"/>
    <col min="37" max="37" width="16.57421875" style="7" bestFit="1" customWidth="1"/>
    <col min="38" max="46" width="11.8515625" style="7" customWidth="1"/>
    <col min="47" max="50" width="9.140625" style="7" customWidth="1"/>
    <col min="51" max="51" width="9.140625" style="37" customWidth="1"/>
    <col min="52" max="16384" width="9.140625" style="7" customWidth="1"/>
  </cols>
  <sheetData>
    <row r="1" spans="1:50" ht="15.75">
      <c r="A1" s="217" t="s">
        <v>52</v>
      </c>
      <c r="B1" s="217"/>
      <c r="C1" s="217"/>
      <c r="D1" s="217"/>
      <c r="E1" s="217"/>
      <c r="F1" s="217"/>
      <c r="G1" s="217"/>
      <c r="H1" s="217"/>
      <c r="I1" s="217"/>
      <c r="Z1" s="1"/>
      <c r="AA1" s="1"/>
      <c r="AE1" s="3"/>
      <c r="AF1" s="2"/>
      <c r="AG1" s="3"/>
      <c r="AH1" s="3"/>
      <c r="AJ1" s="1"/>
      <c r="AK1" s="1"/>
      <c r="AL1" s="1"/>
      <c r="AM1" s="1"/>
      <c r="AN1" s="1"/>
      <c r="AO1" s="1"/>
      <c r="AP1" s="1"/>
      <c r="AQ1" s="1"/>
      <c r="AR1" s="4"/>
      <c r="AS1" s="4"/>
      <c r="AT1" s="4"/>
      <c r="AV1" s="36"/>
      <c r="AW1" s="36"/>
      <c r="AX1" s="36"/>
    </row>
    <row r="2" spans="1:50" ht="15.75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Z2" s="1"/>
      <c r="AA2" s="1"/>
      <c r="AE2" s="3"/>
      <c r="AF2" s="2"/>
      <c r="AG2" s="3"/>
      <c r="AH2" s="3"/>
      <c r="AJ2" s="1"/>
      <c r="AK2" s="1"/>
      <c r="AL2" s="1"/>
      <c r="AM2" s="1"/>
      <c r="AN2" s="1"/>
      <c r="AO2" s="1"/>
      <c r="AP2" s="1"/>
      <c r="AQ2" s="1"/>
      <c r="AR2" s="4"/>
      <c r="AS2" s="4"/>
      <c r="AT2" s="4"/>
      <c r="AV2" s="36"/>
      <c r="AW2" s="36"/>
      <c r="AX2" s="36"/>
    </row>
    <row r="3" spans="1:50" ht="18.75">
      <c r="A3" s="225"/>
      <c r="B3" s="225"/>
      <c r="C3" s="225"/>
      <c r="D3" s="225"/>
      <c r="E3" s="225"/>
      <c r="F3" s="225"/>
      <c r="G3" s="225"/>
      <c r="H3" s="225"/>
      <c r="I3" s="225"/>
      <c r="Z3" s="1"/>
      <c r="AA3" s="1"/>
      <c r="AE3" s="3"/>
      <c r="AF3" s="2"/>
      <c r="AG3" s="3"/>
      <c r="AH3" s="3"/>
      <c r="AJ3" s="1"/>
      <c r="AK3" s="1"/>
      <c r="AL3" s="1"/>
      <c r="AM3" s="1"/>
      <c r="AN3" s="1"/>
      <c r="AO3" s="1"/>
      <c r="AP3" s="1"/>
      <c r="AQ3" s="1"/>
      <c r="AR3" s="40"/>
      <c r="AS3" s="40"/>
      <c r="AT3" s="40"/>
      <c r="AV3" s="36"/>
      <c r="AW3" s="36"/>
      <c r="AX3" s="36"/>
    </row>
    <row r="4" spans="1:50" ht="15.75">
      <c r="A4" s="181"/>
      <c r="B4" s="181"/>
      <c r="C4" s="181"/>
      <c r="D4" s="181"/>
      <c r="E4" s="181"/>
      <c r="F4" s="181"/>
      <c r="G4" s="181"/>
      <c r="H4" s="181"/>
      <c r="I4" s="181"/>
      <c r="Z4" s="1"/>
      <c r="AA4" s="1"/>
      <c r="AE4" s="3"/>
      <c r="AF4" s="2"/>
      <c r="AG4" s="3"/>
      <c r="AH4" s="3"/>
      <c r="AJ4" s="1"/>
      <c r="AK4" s="1"/>
      <c r="AL4" s="1"/>
      <c r="AM4" s="1"/>
      <c r="AN4" s="1"/>
      <c r="AO4" s="1"/>
      <c r="AP4" s="1"/>
      <c r="AQ4" s="1"/>
      <c r="AR4" s="40"/>
      <c r="AS4" s="40"/>
      <c r="AT4" s="40"/>
      <c r="AV4" s="36"/>
      <c r="AW4" s="36"/>
      <c r="AX4" s="36"/>
    </row>
    <row r="5" spans="1:50" ht="15.75">
      <c r="A5" s="30"/>
      <c r="B5" s="46"/>
      <c r="C5" s="46"/>
      <c r="D5" s="1"/>
      <c r="E5" s="1"/>
      <c r="F5" s="1"/>
      <c r="G5" s="1"/>
      <c r="H5" s="1"/>
      <c r="I5" s="46"/>
      <c r="J5" s="1"/>
      <c r="K5" s="4"/>
      <c r="L5" s="4"/>
      <c r="M5" s="10"/>
      <c r="N5" s="10"/>
      <c r="O5" s="4"/>
      <c r="P5" s="1"/>
      <c r="Q5" s="1"/>
      <c r="R5" s="2"/>
      <c r="S5" s="1"/>
      <c r="T5" s="1"/>
      <c r="U5" s="1"/>
      <c r="V5" s="1"/>
      <c r="W5" s="33"/>
      <c r="X5" s="1"/>
      <c r="Y5" s="1"/>
      <c r="Z5" s="1"/>
      <c r="AE5" s="7"/>
      <c r="AF5" s="7"/>
      <c r="AG5" s="7"/>
      <c r="AH5" s="7"/>
      <c r="AV5" s="36"/>
      <c r="AW5" s="36"/>
      <c r="AX5" s="36"/>
    </row>
    <row r="6" spans="8:51" ht="15.75" customHeight="1">
      <c r="H6" s="245"/>
      <c r="I6" s="245"/>
      <c r="J6" s="192"/>
      <c r="K6" s="4"/>
      <c r="L6" s="10"/>
      <c r="M6" s="10"/>
      <c r="N6" s="4"/>
      <c r="O6" s="1"/>
      <c r="P6" s="1"/>
      <c r="Q6" s="2"/>
      <c r="R6" s="1"/>
      <c r="S6" s="1"/>
      <c r="T6" s="1"/>
      <c r="U6" s="1"/>
      <c r="V6" s="33"/>
      <c r="W6" s="1"/>
      <c r="X6" s="1"/>
      <c r="Y6" s="1"/>
      <c r="AA6"/>
      <c r="AB6"/>
      <c r="AC6"/>
      <c r="AE6" s="7"/>
      <c r="AF6" s="7"/>
      <c r="AG6" s="7"/>
      <c r="AH6" s="7"/>
      <c r="AU6" s="36"/>
      <c r="AV6" s="36"/>
      <c r="AW6" s="36"/>
      <c r="AX6" s="37"/>
      <c r="AY6" s="7"/>
    </row>
    <row r="7" spans="10:50" ht="16.5" thickBot="1">
      <c r="J7" s="1"/>
      <c r="K7"/>
      <c r="L7" s="4"/>
      <c r="M7" s="10"/>
      <c r="N7" s="10"/>
      <c r="O7" s="4"/>
      <c r="P7" s="1"/>
      <c r="Q7" s="1"/>
      <c r="R7" s="2"/>
      <c r="S7" s="1"/>
      <c r="T7" s="1"/>
      <c r="U7" s="1"/>
      <c r="V7" s="1"/>
      <c r="W7" s="33"/>
      <c r="X7" s="1"/>
      <c r="Y7" s="1"/>
      <c r="Z7" s="1"/>
      <c r="AB7"/>
      <c r="AC7"/>
      <c r="AD7"/>
      <c r="AE7" s="7"/>
      <c r="AF7" s="7"/>
      <c r="AG7" s="7"/>
      <c r="AH7" s="7"/>
      <c r="AV7" s="36"/>
      <c r="AW7" s="36"/>
      <c r="AX7" s="36"/>
    </row>
    <row r="8" spans="8:50" ht="15" customHeight="1" thickBot="1">
      <c r="H8" s="235" t="s">
        <v>79</v>
      </c>
      <c r="I8" s="236"/>
      <c r="J8" s="85">
        <v>30</v>
      </c>
      <c r="K8"/>
      <c r="O8" s="231"/>
      <c r="P8" s="231"/>
      <c r="Q8" s="231"/>
      <c r="R8" s="231"/>
      <c r="S8" s="231"/>
      <c r="T8" s="231"/>
      <c r="U8"/>
      <c r="V8" s="230"/>
      <c r="W8" s="230"/>
      <c r="X8" s="230"/>
      <c r="Y8" s="230"/>
      <c r="Z8" s="230"/>
      <c r="AA8" s="230"/>
      <c r="AB8" s="230"/>
      <c r="AC8" s="230"/>
      <c r="AD8"/>
      <c r="AE8" s="241" t="s">
        <v>2</v>
      </c>
      <c r="AF8" s="241"/>
      <c r="AG8" s="241"/>
      <c r="AH8" s="241"/>
      <c r="AI8" s="13" t="s">
        <v>3</v>
      </c>
      <c r="AJ8" s="220"/>
      <c r="AK8" s="14" t="s">
        <v>4</v>
      </c>
      <c r="AV8" s="36"/>
      <c r="AW8" s="36"/>
      <c r="AX8" s="36"/>
    </row>
    <row r="9" spans="1:51" s="68" customFormat="1" ht="33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232" t="s">
        <v>5</v>
      </c>
      <c r="P9" s="233"/>
      <c r="Q9" s="233"/>
      <c r="R9" s="233"/>
      <c r="S9" s="234"/>
      <c r="T9" s="69"/>
      <c r="U9" s="110"/>
      <c r="V9" s="226"/>
      <c r="W9" s="227"/>
      <c r="X9" s="126">
        <v>0.2</v>
      </c>
      <c r="Y9" s="130">
        <v>0.5</v>
      </c>
      <c r="Z9" s="128">
        <v>0.3</v>
      </c>
      <c r="AA9" s="222"/>
      <c r="AB9" s="223"/>
      <c r="AC9" s="223"/>
      <c r="AD9" s="110"/>
      <c r="AE9" s="242" t="s">
        <v>6</v>
      </c>
      <c r="AF9" s="243"/>
      <c r="AG9" s="244"/>
      <c r="AH9" s="242" t="s">
        <v>7</v>
      </c>
      <c r="AI9" s="244"/>
      <c r="AJ9" s="221"/>
      <c r="AK9" s="70" t="s">
        <v>8</v>
      </c>
      <c r="AV9" s="71"/>
      <c r="AW9" s="71"/>
      <c r="AX9" s="71"/>
      <c r="AY9" s="72"/>
    </row>
    <row r="10" spans="1:49" s="6" customFormat="1" ht="50.1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191</v>
      </c>
      <c r="F10" s="16" t="s">
        <v>13</v>
      </c>
      <c r="G10" s="74" t="s">
        <v>14</v>
      </c>
      <c r="H10" s="74" t="s">
        <v>15</v>
      </c>
      <c r="I10" s="89" t="s">
        <v>16</v>
      </c>
      <c r="J10" s="16" t="s">
        <v>1</v>
      </c>
      <c r="K10" s="74" t="s">
        <v>67</v>
      </c>
      <c r="L10" s="74" t="s">
        <v>184</v>
      </c>
      <c r="M10" s="51" t="s">
        <v>69</v>
      </c>
      <c r="N10" s="51" t="s">
        <v>190</v>
      </c>
      <c r="O10" s="73" t="s">
        <v>18</v>
      </c>
      <c r="P10" s="73" t="s">
        <v>19</v>
      </c>
      <c r="Q10" s="73" t="s">
        <v>20</v>
      </c>
      <c r="R10" s="18" t="s">
        <v>21</v>
      </c>
      <c r="S10" s="18" t="s">
        <v>22</v>
      </c>
      <c r="T10" s="19" t="s">
        <v>23</v>
      </c>
      <c r="U10" s="110"/>
      <c r="V10" s="20" t="s">
        <v>24</v>
      </c>
      <c r="W10" s="21" t="s">
        <v>25</v>
      </c>
      <c r="X10" s="127" t="s">
        <v>26</v>
      </c>
      <c r="Y10" s="131" t="s">
        <v>27</v>
      </c>
      <c r="Z10" s="129" t="s">
        <v>4</v>
      </c>
      <c r="AA10" s="20" t="s">
        <v>28</v>
      </c>
      <c r="AB10" s="22" t="s">
        <v>29</v>
      </c>
      <c r="AC10" s="23" t="s">
        <v>30</v>
      </c>
      <c r="AD10" s="110"/>
      <c r="AE10" s="17" t="s">
        <v>18</v>
      </c>
      <c r="AF10" s="17" t="s">
        <v>19</v>
      </c>
      <c r="AG10" s="17" t="s">
        <v>20</v>
      </c>
      <c r="AH10" s="17" t="s">
        <v>21</v>
      </c>
      <c r="AI10" s="17" t="s">
        <v>31</v>
      </c>
      <c r="AJ10" s="17" t="s">
        <v>22</v>
      </c>
      <c r="AK10" s="17" t="s">
        <v>32</v>
      </c>
      <c r="AT10" s="240"/>
      <c r="AU10" s="240"/>
      <c r="AV10" s="240"/>
      <c r="AW10" s="240"/>
    </row>
    <row r="11" spans="1:49" s="9" customFormat="1" ht="15" customHeight="1">
      <c r="A11" s="52"/>
      <c r="B11" s="67"/>
      <c r="C11" s="53"/>
      <c r="D11" s="52"/>
      <c r="E11" s="52"/>
      <c r="F11" s="52"/>
      <c r="G11" s="87"/>
      <c r="H11" s="191"/>
      <c r="I11" s="88"/>
      <c r="J11" s="52">
        <f>SUM(J12:J17)</f>
        <v>180</v>
      </c>
      <c r="K11" s="94">
        <f>SUM(K12:K17)</f>
        <v>132904.8</v>
      </c>
      <c r="L11" s="55"/>
      <c r="M11" s="54"/>
      <c r="N11" s="54"/>
      <c r="O11" s="93">
        <f aca="true" t="shared" si="0" ref="O11:T11">SUM(O12:O17)</f>
        <v>31750</v>
      </c>
      <c r="P11" s="93">
        <f t="shared" si="0"/>
        <v>9836.150000000001</v>
      </c>
      <c r="Q11" s="93">
        <f t="shared" si="0"/>
        <v>41586.15</v>
      </c>
      <c r="R11" s="93">
        <f t="shared" si="0"/>
        <v>0</v>
      </c>
      <c r="S11" s="93">
        <f t="shared" si="0"/>
        <v>41586.15</v>
      </c>
      <c r="T11" s="94">
        <f t="shared" si="0"/>
        <v>91318.65000000001</v>
      </c>
      <c r="U11"/>
      <c r="V11" s="24">
        <f>SUM(V12:V17)</f>
        <v>180</v>
      </c>
      <c r="W11" s="25">
        <f aca="true" t="shared" si="1" ref="W11:W28">V11/J11</f>
        <v>1</v>
      </c>
      <c r="X11" s="97">
        <f>SUM(X12:X17)</f>
        <v>18263.73</v>
      </c>
      <c r="Y11" s="132">
        <f>SUM(Y12:Y17)</f>
        <v>45659.325000000004</v>
      </c>
      <c r="Z11" s="97">
        <f>SUM(Z12:Z17)</f>
        <v>27395.594999999998</v>
      </c>
      <c r="AA11" s="24">
        <f>SUM(AA12:AA17)</f>
        <v>0</v>
      </c>
      <c r="AB11" s="25">
        <f aca="true" t="shared" si="2" ref="AB11:AB28">AA11/J11</f>
        <v>0</v>
      </c>
      <c r="AC11" s="94">
        <f>SUM(AC12:AC17)</f>
        <v>0</v>
      </c>
      <c r="AD11"/>
      <c r="AE11" s="93">
        <f>SUM(AE12:AE17)</f>
        <v>31750</v>
      </c>
      <c r="AF11" s="93">
        <f>SUM(AF12:AF17)</f>
        <v>9836.150000000001</v>
      </c>
      <c r="AG11" s="93">
        <f>SUM(AG12:AG17)</f>
        <v>41586.15</v>
      </c>
      <c r="AH11" s="93">
        <f aca="true" t="shared" si="3" ref="AH11:AI11">SUM(AH12:AH17)</f>
        <v>0</v>
      </c>
      <c r="AI11" s="93">
        <f t="shared" si="3"/>
        <v>0</v>
      </c>
      <c r="AJ11" s="93">
        <f>SUM(AJ12:AJ17)</f>
        <v>41586.15</v>
      </c>
      <c r="AK11" s="93">
        <f>SUM(AK12:AK17)</f>
        <v>0</v>
      </c>
      <c r="AL11" s="7"/>
      <c r="AM11" s="7"/>
      <c r="AN11" s="7"/>
      <c r="AO11" s="7"/>
      <c r="AP11" s="7"/>
      <c r="AQ11" s="7"/>
      <c r="AR11" s="7"/>
      <c r="AW11" s="11"/>
    </row>
    <row r="12" spans="1:37" s="29" customFormat="1" ht="15">
      <c r="A12" s="26" t="s">
        <v>165</v>
      </c>
      <c r="B12" s="182">
        <v>2003</v>
      </c>
      <c r="C12" s="7" t="s">
        <v>34</v>
      </c>
      <c r="D12" s="187" t="s">
        <v>166</v>
      </c>
      <c r="E12" s="187" t="s">
        <v>111</v>
      </c>
      <c r="F12" s="7" t="s">
        <v>0</v>
      </c>
      <c r="G12" t="s">
        <v>36</v>
      </c>
      <c r="H12" t="s">
        <v>189</v>
      </c>
      <c r="I12" s="5">
        <v>3</v>
      </c>
      <c r="J12" s="29">
        <f aca="true" t="shared" si="4" ref="J12:J20">$J$8</f>
        <v>30</v>
      </c>
      <c r="K12" s="100">
        <f>Table!$H$7*I12*J12</f>
        <v>22150.8</v>
      </c>
      <c r="L12" t="s">
        <v>48</v>
      </c>
      <c r="M12" s="29">
        <v>1</v>
      </c>
      <c r="N12" s="101">
        <v>5000</v>
      </c>
      <c r="O12" s="95">
        <f>N12</f>
        <v>5000</v>
      </c>
      <c r="P12" s="95">
        <f>O12*Table!$H$1</f>
        <v>1549</v>
      </c>
      <c r="Q12" s="95">
        <f aca="true" t="shared" si="5" ref="Q12:Q28">O12+P12</f>
        <v>6549</v>
      </c>
      <c r="R12" s="95"/>
      <c r="S12" s="95">
        <f aca="true" t="shared" si="6" ref="S12:S28">Q12+R12</f>
        <v>6549</v>
      </c>
      <c r="T12" s="96">
        <f aca="true" t="shared" si="7" ref="T12:T28">K12-S12</f>
        <v>15601.8</v>
      </c>
      <c r="U12"/>
      <c r="V12" s="15">
        <f>J12</f>
        <v>30</v>
      </c>
      <c r="W12" s="27">
        <f t="shared" si="1"/>
        <v>1</v>
      </c>
      <c r="X12" s="98">
        <f aca="true" t="shared" si="8" ref="X12:X17">(W12*T12)*$X$9</f>
        <v>3120.36</v>
      </c>
      <c r="Y12" s="133">
        <f aca="true" t="shared" si="9" ref="Y12:Y17">(W12*T12)*$Y$9</f>
        <v>7800.9</v>
      </c>
      <c r="Z12" s="98">
        <f aca="true" t="shared" si="10" ref="Z12:Z17">(W12*T12)*$Z$9</f>
        <v>4680.54</v>
      </c>
      <c r="AA12" s="12">
        <f aca="true" t="shared" si="11" ref="AA12:AA28">J12-V12</f>
        <v>0</v>
      </c>
      <c r="AB12" s="27">
        <f t="shared" si="2"/>
        <v>0</v>
      </c>
      <c r="AC12" s="96">
        <f aca="true" t="shared" si="12" ref="AC12">T12*AB12</f>
        <v>0</v>
      </c>
      <c r="AD12"/>
      <c r="AE12" s="99">
        <f aca="true" t="shared" si="13" ref="AE12:AE28">IF(L12="TTIN","0.00",(IF(L12="CIN","0.00",(IF(L12="IN","0.00",O12)))))</f>
        <v>5000</v>
      </c>
      <c r="AF12" s="99">
        <f aca="true" t="shared" si="14" ref="AF12:AF28">IF(L12="TTIN","0.00",(IF(L12="CIN","0.00",(IF(L12="IN","0.00",P12)))))</f>
        <v>1549</v>
      </c>
      <c r="AG12" s="99">
        <f aca="true" t="shared" si="15" ref="AG12:AG28">IF(L12="TTIN","0.00",(IF(L12="CIN","0.00",(IF(L12="IN","0.00",Q12)))))</f>
        <v>6549</v>
      </c>
      <c r="AH12" s="95"/>
      <c r="AI12" s="95"/>
      <c r="AJ12" s="95">
        <f aca="true" t="shared" si="16" ref="AJ12:AJ28">AG12+AH12+AI12</f>
        <v>6549</v>
      </c>
      <c r="AK12" s="95">
        <f aca="true" t="shared" si="17" ref="AK12">S12-AJ12</f>
        <v>0</v>
      </c>
    </row>
    <row r="13" spans="1:37" s="29" customFormat="1" ht="15">
      <c r="A13" s="26" t="s">
        <v>167</v>
      </c>
      <c r="B13" s="182">
        <v>2013</v>
      </c>
      <c r="C13" s="7" t="s">
        <v>34</v>
      </c>
      <c r="D13" s="187" t="s">
        <v>168</v>
      </c>
      <c r="E13" s="187" t="s">
        <v>111</v>
      </c>
      <c r="F13" s="7" t="s">
        <v>0</v>
      </c>
      <c r="G13" t="s">
        <v>36</v>
      </c>
      <c r="H13" t="s">
        <v>189</v>
      </c>
      <c r="I13" s="5">
        <v>3</v>
      </c>
      <c r="J13" s="29">
        <f t="shared" si="4"/>
        <v>30</v>
      </c>
      <c r="K13" s="100">
        <f>Table!$H$7*I13*J13</f>
        <v>22150.8</v>
      </c>
      <c r="L13" t="s">
        <v>48</v>
      </c>
      <c r="M13" s="29">
        <v>1</v>
      </c>
      <c r="N13" s="101">
        <v>5000</v>
      </c>
      <c r="O13" s="95">
        <v>5000</v>
      </c>
      <c r="P13" s="95">
        <f>O13*Table!$H$1</f>
        <v>1549</v>
      </c>
      <c r="Q13" s="95">
        <f t="shared" si="5"/>
        <v>6549</v>
      </c>
      <c r="R13" s="95"/>
      <c r="S13" s="95">
        <f t="shared" si="6"/>
        <v>6549</v>
      </c>
      <c r="T13" s="96">
        <f t="shared" si="7"/>
        <v>15601.8</v>
      </c>
      <c r="U13"/>
      <c r="V13" s="15">
        <f aca="true" t="shared" si="18" ref="V13:V28">J13</f>
        <v>30</v>
      </c>
      <c r="W13" s="27">
        <f t="shared" si="1"/>
        <v>1</v>
      </c>
      <c r="X13" s="98">
        <f t="shared" si="8"/>
        <v>3120.36</v>
      </c>
      <c r="Y13" s="133">
        <f t="shared" si="9"/>
        <v>7800.9</v>
      </c>
      <c r="Z13" s="98">
        <f t="shared" si="10"/>
        <v>4680.54</v>
      </c>
      <c r="AA13" s="12">
        <f t="shared" si="11"/>
        <v>0</v>
      </c>
      <c r="AB13" s="27">
        <f t="shared" si="2"/>
        <v>0</v>
      </c>
      <c r="AC13" s="96">
        <f>T13*AB13</f>
        <v>0</v>
      </c>
      <c r="AD13"/>
      <c r="AE13" s="99">
        <f t="shared" si="13"/>
        <v>5000</v>
      </c>
      <c r="AF13" s="99">
        <f t="shared" si="14"/>
        <v>1549</v>
      </c>
      <c r="AG13" s="99">
        <f t="shared" si="15"/>
        <v>6549</v>
      </c>
      <c r="AH13" s="95"/>
      <c r="AI13" s="95"/>
      <c r="AJ13" s="95">
        <f t="shared" si="16"/>
        <v>6549</v>
      </c>
      <c r="AK13" s="95">
        <f>S13-AJ13</f>
        <v>0</v>
      </c>
    </row>
    <row r="14" spans="1:37" s="29" customFormat="1" ht="15">
      <c r="A14" s="26" t="s">
        <v>165</v>
      </c>
      <c r="B14" s="182">
        <v>2043</v>
      </c>
      <c r="C14" s="7" t="s">
        <v>34</v>
      </c>
      <c r="D14" s="187" t="s">
        <v>169</v>
      </c>
      <c r="E14" s="187" t="s">
        <v>111</v>
      </c>
      <c r="F14" s="7" t="s">
        <v>0</v>
      </c>
      <c r="G14" t="s">
        <v>36</v>
      </c>
      <c r="H14" t="s">
        <v>186</v>
      </c>
      <c r="I14" s="5">
        <v>3</v>
      </c>
      <c r="J14" s="29">
        <f t="shared" si="4"/>
        <v>30</v>
      </c>
      <c r="K14" s="100">
        <f>Table!$H$7*I14*J14</f>
        <v>22150.8</v>
      </c>
      <c r="L14" t="s">
        <v>47</v>
      </c>
      <c r="M14" s="29">
        <v>1</v>
      </c>
      <c r="N14" s="101">
        <v>50000</v>
      </c>
      <c r="O14" s="95">
        <f aca="true" t="shared" si="19" ref="O14:O28">IF(N14="A1","$4,000.00",(IF(N14="A2","$5,000.00",(IF(N14="A3","$5,000.00",(IF(L14="TTIN",I14*N14*0.025,IF(L14="TTIR",I14*N14*0.025,(IF(L14="O",I14*N14*0.025,(IF(L14="CIN",I14*N14*0.025,(IF(L14="CIR",I14*N14*0.025,(IF(L14="IR",I14*N14*0.025,(IF(L14="IN",I14*N14*0.025,(IF(L14="GA",I14*N14*0.025,(IF(L14="CISP",I14*N14*0.04))))))))))))))))))))))</f>
        <v>6000</v>
      </c>
      <c r="P14" s="95">
        <f>O14*Table!$H$1</f>
        <v>1858.8000000000002</v>
      </c>
      <c r="Q14" s="95">
        <f t="shared" si="5"/>
        <v>7858.8</v>
      </c>
      <c r="R14" s="95"/>
      <c r="S14" s="95">
        <f t="shared" si="6"/>
        <v>7858.8</v>
      </c>
      <c r="T14" s="96">
        <f t="shared" si="7"/>
        <v>14292</v>
      </c>
      <c r="U14"/>
      <c r="V14" s="15">
        <f t="shared" si="18"/>
        <v>30</v>
      </c>
      <c r="W14" s="27">
        <f t="shared" si="1"/>
        <v>1</v>
      </c>
      <c r="X14" s="98">
        <f t="shared" si="8"/>
        <v>2858.4</v>
      </c>
      <c r="Y14" s="133">
        <f t="shared" si="9"/>
        <v>7146</v>
      </c>
      <c r="Z14" s="98">
        <f t="shared" si="10"/>
        <v>4287.599999999999</v>
      </c>
      <c r="AA14" s="12">
        <f t="shared" si="11"/>
        <v>0</v>
      </c>
      <c r="AB14" s="27">
        <f t="shared" si="2"/>
        <v>0</v>
      </c>
      <c r="AC14" s="96">
        <f>T14*AB14</f>
        <v>0</v>
      </c>
      <c r="AD14"/>
      <c r="AE14" s="99">
        <f t="shared" si="13"/>
        <v>6000</v>
      </c>
      <c r="AF14" s="99">
        <f t="shared" si="14"/>
        <v>1858.8000000000002</v>
      </c>
      <c r="AG14" s="99">
        <f t="shared" si="15"/>
        <v>7858.8</v>
      </c>
      <c r="AH14" s="95"/>
      <c r="AI14" s="95"/>
      <c r="AJ14" s="95">
        <f t="shared" si="16"/>
        <v>7858.8</v>
      </c>
      <c r="AK14" s="95">
        <f>S14-AJ14</f>
        <v>0</v>
      </c>
    </row>
    <row r="15" spans="1:37" s="29" customFormat="1" ht="15">
      <c r="A15" s="26" t="s">
        <v>170</v>
      </c>
      <c r="B15" s="182">
        <v>3023</v>
      </c>
      <c r="C15" s="7" t="s">
        <v>34</v>
      </c>
      <c r="D15" s="187" t="s">
        <v>171</v>
      </c>
      <c r="E15" s="187" t="s">
        <v>111</v>
      </c>
      <c r="F15" s="7" t="s">
        <v>0</v>
      </c>
      <c r="G15" t="s">
        <v>36</v>
      </c>
      <c r="H15" t="s">
        <v>186</v>
      </c>
      <c r="I15" s="5">
        <v>3</v>
      </c>
      <c r="J15" s="29">
        <f t="shared" si="4"/>
        <v>30</v>
      </c>
      <c r="K15" s="100">
        <f>Table!$H$7*I15*J15</f>
        <v>22150.8</v>
      </c>
      <c r="L15" t="s">
        <v>47</v>
      </c>
      <c r="M15" s="29">
        <v>1</v>
      </c>
      <c r="N15" s="101">
        <v>50000</v>
      </c>
      <c r="O15" s="95">
        <f t="shared" si="19"/>
        <v>6000</v>
      </c>
      <c r="P15" s="95">
        <f>O15*Table!$H$1</f>
        <v>1858.8000000000002</v>
      </c>
      <c r="Q15" s="95">
        <f t="shared" si="5"/>
        <v>7858.8</v>
      </c>
      <c r="R15" s="95"/>
      <c r="S15" s="95">
        <f t="shared" si="6"/>
        <v>7858.8</v>
      </c>
      <c r="T15" s="96">
        <f t="shared" si="7"/>
        <v>14292</v>
      </c>
      <c r="U15"/>
      <c r="V15" s="15">
        <f t="shared" si="18"/>
        <v>30</v>
      </c>
      <c r="W15" s="27">
        <f t="shared" si="1"/>
        <v>1</v>
      </c>
      <c r="X15" s="98">
        <f t="shared" si="8"/>
        <v>2858.4</v>
      </c>
      <c r="Y15" s="133">
        <f t="shared" si="9"/>
        <v>7146</v>
      </c>
      <c r="Z15" s="98">
        <f t="shared" si="10"/>
        <v>4287.599999999999</v>
      </c>
      <c r="AA15" s="12">
        <f t="shared" si="11"/>
        <v>0</v>
      </c>
      <c r="AB15" s="27">
        <f t="shared" si="2"/>
        <v>0</v>
      </c>
      <c r="AC15" s="96">
        <f>T15*AB15</f>
        <v>0</v>
      </c>
      <c r="AD15"/>
      <c r="AE15" s="99">
        <f t="shared" si="13"/>
        <v>6000</v>
      </c>
      <c r="AF15" s="99">
        <f t="shared" si="14"/>
        <v>1858.8000000000002</v>
      </c>
      <c r="AG15" s="99">
        <f t="shared" si="15"/>
        <v>7858.8</v>
      </c>
      <c r="AH15" s="95"/>
      <c r="AI15" s="95"/>
      <c r="AJ15" s="95">
        <f t="shared" si="16"/>
        <v>7858.8</v>
      </c>
      <c r="AK15" s="95">
        <f>S15-AJ15</f>
        <v>0</v>
      </c>
    </row>
    <row r="16" spans="1:37" s="29" customFormat="1" ht="15">
      <c r="A16" s="26" t="s">
        <v>165</v>
      </c>
      <c r="B16" s="182">
        <v>3043</v>
      </c>
      <c r="C16" s="7" t="s">
        <v>34</v>
      </c>
      <c r="D16" s="187" t="s">
        <v>172</v>
      </c>
      <c r="E16" s="187" t="s">
        <v>111</v>
      </c>
      <c r="F16" s="7" t="s">
        <v>0</v>
      </c>
      <c r="G16" t="s">
        <v>36</v>
      </c>
      <c r="H16" t="s">
        <v>186</v>
      </c>
      <c r="I16" s="5">
        <v>3</v>
      </c>
      <c r="J16" s="29">
        <f t="shared" si="4"/>
        <v>30</v>
      </c>
      <c r="K16" s="100">
        <f>Table!$H$7*I16*J16</f>
        <v>22150.8</v>
      </c>
      <c r="L16" t="s">
        <v>47</v>
      </c>
      <c r="M16" s="29">
        <v>1</v>
      </c>
      <c r="N16" s="101">
        <v>50000</v>
      </c>
      <c r="O16" s="95">
        <f t="shared" si="19"/>
        <v>6000</v>
      </c>
      <c r="P16" s="95">
        <f>O16*Table!$H$1</f>
        <v>1858.8000000000002</v>
      </c>
      <c r="Q16" s="95">
        <f t="shared" si="5"/>
        <v>7858.8</v>
      </c>
      <c r="R16" s="95"/>
      <c r="S16" s="95">
        <f t="shared" si="6"/>
        <v>7858.8</v>
      </c>
      <c r="T16" s="96">
        <f t="shared" si="7"/>
        <v>14292</v>
      </c>
      <c r="U16"/>
      <c r="V16" s="15">
        <f t="shared" si="18"/>
        <v>30</v>
      </c>
      <c r="W16" s="27">
        <f t="shared" si="1"/>
        <v>1</v>
      </c>
      <c r="X16" s="98">
        <f t="shared" si="8"/>
        <v>2858.4</v>
      </c>
      <c r="Y16" s="133">
        <f t="shared" si="9"/>
        <v>7146</v>
      </c>
      <c r="Z16" s="98">
        <f t="shared" si="10"/>
        <v>4287.599999999999</v>
      </c>
      <c r="AA16" s="12">
        <f t="shared" si="11"/>
        <v>0</v>
      </c>
      <c r="AB16" s="27">
        <f t="shared" si="2"/>
        <v>0</v>
      </c>
      <c r="AC16" s="96">
        <f>T16*AB16</f>
        <v>0</v>
      </c>
      <c r="AD16"/>
      <c r="AE16" s="99">
        <f t="shared" si="13"/>
        <v>6000</v>
      </c>
      <c r="AF16" s="99">
        <f t="shared" si="14"/>
        <v>1858.8000000000002</v>
      </c>
      <c r="AG16" s="99">
        <f t="shared" si="15"/>
        <v>7858.8</v>
      </c>
      <c r="AH16" s="95"/>
      <c r="AI16" s="95"/>
      <c r="AJ16" s="95">
        <f t="shared" si="16"/>
        <v>7858.8</v>
      </c>
      <c r="AK16" s="95">
        <f>S16-AJ16</f>
        <v>0</v>
      </c>
    </row>
    <row r="17" spans="1:37" s="29" customFormat="1" ht="15">
      <c r="A17" s="26" t="s">
        <v>170</v>
      </c>
      <c r="B17" s="182">
        <v>3203</v>
      </c>
      <c r="C17" s="7" t="s">
        <v>34</v>
      </c>
      <c r="D17" s="187" t="s">
        <v>173</v>
      </c>
      <c r="E17" s="187" t="s">
        <v>111</v>
      </c>
      <c r="F17" s="7" t="s">
        <v>0</v>
      </c>
      <c r="G17" t="s">
        <v>36</v>
      </c>
      <c r="H17" t="s">
        <v>186</v>
      </c>
      <c r="I17" s="5">
        <v>3</v>
      </c>
      <c r="J17" s="29">
        <f t="shared" si="4"/>
        <v>30</v>
      </c>
      <c r="K17" s="100">
        <f>Table!$H$7*I17*J17</f>
        <v>22150.8</v>
      </c>
      <c r="L17" t="s">
        <v>75</v>
      </c>
      <c r="M17" s="29">
        <v>1</v>
      </c>
      <c r="N17" s="101">
        <v>50000</v>
      </c>
      <c r="O17" s="95">
        <f t="shared" si="19"/>
        <v>3750</v>
      </c>
      <c r="P17" s="95">
        <f>O17*Table!$H$1</f>
        <v>1161.75</v>
      </c>
      <c r="Q17" s="95">
        <f t="shared" si="5"/>
        <v>4911.75</v>
      </c>
      <c r="R17" s="95"/>
      <c r="S17" s="95">
        <f t="shared" si="6"/>
        <v>4911.75</v>
      </c>
      <c r="T17" s="96">
        <f t="shared" si="7"/>
        <v>17239.05</v>
      </c>
      <c r="U17"/>
      <c r="V17" s="15">
        <f t="shared" si="18"/>
        <v>30</v>
      </c>
      <c r="W17" s="27">
        <f t="shared" si="1"/>
        <v>1</v>
      </c>
      <c r="X17" s="98">
        <f t="shared" si="8"/>
        <v>3447.81</v>
      </c>
      <c r="Y17" s="133">
        <f t="shared" si="9"/>
        <v>8619.525</v>
      </c>
      <c r="Z17" s="98">
        <f t="shared" si="10"/>
        <v>5171.714999999999</v>
      </c>
      <c r="AA17" s="12">
        <f t="shared" si="11"/>
        <v>0</v>
      </c>
      <c r="AB17" s="27">
        <f t="shared" si="2"/>
        <v>0</v>
      </c>
      <c r="AC17" s="96">
        <f>T17*AB17</f>
        <v>0</v>
      </c>
      <c r="AD17"/>
      <c r="AE17" s="99">
        <f t="shared" si="13"/>
        <v>3750</v>
      </c>
      <c r="AF17" s="99">
        <f t="shared" si="14"/>
        <v>1161.75</v>
      </c>
      <c r="AG17" s="99">
        <f t="shared" si="15"/>
        <v>4911.75</v>
      </c>
      <c r="AH17" s="95"/>
      <c r="AI17" s="95"/>
      <c r="AJ17" s="95">
        <f t="shared" si="16"/>
        <v>4911.75</v>
      </c>
      <c r="AK17" s="95">
        <f>S17-AJ17</f>
        <v>0</v>
      </c>
    </row>
    <row r="18" spans="1:37" s="29" customFormat="1" ht="15">
      <c r="A18" s="26" t="s">
        <v>167</v>
      </c>
      <c r="B18" s="182" t="s">
        <v>188</v>
      </c>
      <c r="C18" s="7" t="s">
        <v>34</v>
      </c>
      <c r="D18" s="187" t="s">
        <v>187</v>
      </c>
      <c r="E18" s="187" t="s">
        <v>111</v>
      </c>
      <c r="F18" s="7" t="s">
        <v>0</v>
      </c>
      <c r="G18" t="s">
        <v>36</v>
      </c>
      <c r="H18" t="s">
        <v>186</v>
      </c>
      <c r="I18" s="5">
        <v>4</v>
      </c>
      <c r="J18" s="29">
        <f t="shared" si="4"/>
        <v>30</v>
      </c>
      <c r="K18" s="100">
        <f>Table!$H$7*I18*J18</f>
        <v>29534.4</v>
      </c>
      <c r="L18" t="s">
        <v>47</v>
      </c>
      <c r="M18" s="29">
        <v>1</v>
      </c>
      <c r="N18" s="101">
        <v>50000</v>
      </c>
      <c r="O18" s="95">
        <f t="shared" si="19"/>
        <v>8000</v>
      </c>
      <c r="P18" s="95">
        <f>O18*Table!$H$1</f>
        <v>2478.4</v>
      </c>
      <c r="Q18" s="95">
        <f t="shared" si="5"/>
        <v>10478.4</v>
      </c>
      <c r="R18" s="95"/>
      <c r="S18" s="95">
        <f t="shared" si="6"/>
        <v>10478.4</v>
      </c>
      <c r="T18" s="96">
        <f t="shared" si="7"/>
        <v>19056</v>
      </c>
      <c r="U18"/>
      <c r="V18" s="15">
        <f t="shared" si="18"/>
        <v>30</v>
      </c>
      <c r="W18" s="27">
        <f t="shared" si="1"/>
        <v>1</v>
      </c>
      <c r="X18" s="98">
        <f aca="true" t="shared" si="20" ref="X18:X28">(W18*T18)*$X$9</f>
        <v>3811.2000000000003</v>
      </c>
      <c r="Y18" s="133">
        <f aca="true" t="shared" si="21" ref="Y18:Y28">(W18*T18)*$Y$9</f>
        <v>9528</v>
      </c>
      <c r="Z18" s="98">
        <f aca="true" t="shared" si="22" ref="Z18:Z28">(W18*T18)*$Z$9</f>
        <v>5716.8</v>
      </c>
      <c r="AA18" s="12">
        <f t="shared" si="11"/>
        <v>0</v>
      </c>
      <c r="AB18" s="27">
        <f t="shared" si="2"/>
        <v>0</v>
      </c>
      <c r="AC18" s="96">
        <f aca="true" t="shared" si="23" ref="AC18:AC28">T18*AB18</f>
        <v>0</v>
      </c>
      <c r="AD18"/>
      <c r="AE18" s="99">
        <f t="shared" si="13"/>
        <v>8000</v>
      </c>
      <c r="AF18" s="99">
        <f t="shared" si="14"/>
        <v>2478.4</v>
      </c>
      <c r="AG18" s="99">
        <f t="shared" si="15"/>
        <v>10478.4</v>
      </c>
      <c r="AH18" s="95"/>
      <c r="AI18" s="95"/>
      <c r="AJ18" s="95">
        <f t="shared" si="16"/>
        <v>10478.4</v>
      </c>
      <c r="AK18" s="95">
        <f aca="true" t="shared" si="24" ref="AK18:AK28">S18-AJ18</f>
        <v>0</v>
      </c>
    </row>
    <row r="19" spans="1:37" s="29" customFormat="1" ht="15">
      <c r="A19" s="26" t="s">
        <v>167</v>
      </c>
      <c r="B19" s="182">
        <v>3313</v>
      </c>
      <c r="C19" s="7" t="s">
        <v>34</v>
      </c>
      <c r="D19" s="187" t="s">
        <v>174</v>
      </c>
      <c r="E19" s="187" t="s">
        <v>111</v>
      </c>
      <c r="F19" s="7" t="s">
        <v>0</v>
      </c>
      <c r="G19" t="s">
        <v>36</v>
      </c>
      <c r="H19" t="s">
        <v>186</v>
      </c>
      <c r="I19" s="5">
        <v>3</v>
      </c>
      <c r="J19" s="29">
        <f t="shared" si="4"/>
        <v>30</v>
      </c>
      <c r="K19" s="100">
        <f>Table!$H$7*I19*J19</f>
        <v>22150.8</v>
      </c>
      <c r="L19" t="s">
        <v>47</v>
      </c>
      <c r="M19" s="29">
        <v>1</v>
      </c>
      <c r="N19" s="101">
        <v>50000</v>
      </c>
      <c r="O19" s="95">
        <f t="shared" si="19"/>
        <v>6000</v>
      </c>
      <c r="P19" s="95">
        <f>O19*Table!$H$1</f>
        <v>1858.8000000000002</v>
      </c>
      <c r="Q19" s="95">
        <f t="shared" si="5"/>
        <v>7858.8</v>
      </c>
      <c r="R19" s="95"/>
      <c r="S19" s="95">
        <f t="shared" si="6"/>
        <v>7858.8</v>
      </c>
      <c r="T19" s="96">
        <f t="shared" si="7"/>
        <v>14292</v>
      </c>
      <c r="U19"/>
      <c r="V19" s="15">
        <f t="shared" si="18"/>
        <v>30</v>
      </c>
      <c r="W19" s="27">
        <f t="shared" si="1"/>
        <v>1</v>
      </c>
      <c r="X19" s="98">
        <f t="shared" si="20"/>
        <v>2858.4</v>
      </c>
      <c r="Y19" s="133">
        <f t="shared" si="21"/>
        <v>7146</v>
      </c>
      <c r="Z19" s="98">
        <f t="shared" si="22"/>
        <v>4287.599999999999</v>
      </c>
      <c r="AA19" s="12">
        <f t="shared" si="11"/>
        <v>0</v>
      </c>
      <c r="AB19" s="27">
        <f t="shared" si="2"/>
        <v>0</v>
      </c>
      <c r="AC19" s="96">
        <f t="shared" si="23"/>
        <v>0</v>
      </c>
      <c r="AD19"/>
      <c r="AE19" s="99">
        <f t="shared" si="13"/>
        <v>6000</v>
      </c>
      <c r="AF19" s="99">
        <f t="shared" si="14"/>
        <v>1858.8000000000002</v>
      </c>
      <c r="AG19" s="99">
        <f t="shared" si="15"/>
        <v>7858.8</v>
      </c>
      <c r="AH19" s="95"/>
      <c r="AI19" s="95"/>
      <c r="AJ19" s="95">
        <f t="shared" si="16"/>
        <v>7858.8</v>
      </c>
      <c r="AK19" s="95">
        <f t="shared" si="24"/>
        <v>0</v>
      </c>
    </row>
    <row r="20" spans="1:37" s="29" customFormat="1" ht="15">
      <c r="A20" s="26" t="s">
        <v>170</v>
      </c>
      <c r="B20" s="182">
        <v>3723</v>
      </c>
      <c r="C20" s="7" t="s">
        <v>34</v>
      </c>
      <c r="D20" s="188" t="s">
        <v>175</v>
      </c>
      <c r="E20" s="188" t="s">
        <v>111</v>
      </c>
      <c r="F20" s="7" t="s">
        <v>0</v>
      </c>
      <c r="G20" t="s">
        <v>36</v>
      </c>
      <c r="H20" t="s">
        <v>186</v>
      </c>
      <c r="I20" s="5">
        <v>3</v>
      </c>
      <c r="J20" s="29">
        <f t="shared" si="4"/>
        <v>30</v>
      </c>
      <c r="K20" s="100">
        <f>Table!$H$7*I20*J20</f>
        <v>22150.8</v>
      </c>
      <c r="L20" t="s">
        <v>51</v>
      </c>
      <c r="M20" s="29">
        <v>1</v>
      </c>
      <c r="N20" s="101">
        <v>50000</v>
      </c>
      <c r="O20" s="95">
        <f t="shared" si="19"/>
        <v>3750</v>
      </c>
      <c r="P20" s="95">
        <f>O20*Table!$H$1</f>
        <v>1161.75</v>
      </c>
      <c r="Q20" s="95">
        <f t="shared" si="5"/>
        <v>4911.75</v>
      </c>
      <c r="R20" s="95"/>
      <c r="S20" s="95">
        <f t="shared" si="6"/>
        <v>4911.75</v>
      </c>
      <c r="T20" s="96">
        <f t="shared" si="7"/>
        <v>17239.05</v>
      </c>
      <c r="U20"/>
      <c r="V20" s="15">
        <f t="shared" si="18"/>
        <v>30</v>
      </c>
      <c r="W20" s="27">
        <f t="shared" si="1"/>
        <v>1</v>
      </c>
      <c r="X20" s="98">
        <f t="shared" si="20"/>
        <v>3447.81</v>
      </c>
      <c r="Y20" s="133">
        <f t="shared" si="21"/>
        <v>8619.525</v>
      </c>
      <c r="Z20" s="98">
        <f t="shared" si="22"/>
        <v>5171.714999999999</v>
      </c>
      <c r="AA20" s="12">
        <f t="shared" si="11"/>
        <v>0</v>
      </c>
      <c r="AB20" s="27">
        <f t="shared" si="2"/>
        <v>0</v>
      </c>
      <c r="AC20" s="96">
        <f t="shared" si="23"/>
        <v>0</v>
      </c>
      <c r="AD20"/>
      <c r="AE20" s="99">
        <f t="shared" si="13"/>
        <v>3750</v>
      </c>
      <c r="AF20" s="99">
        <f t="shared" si="14"/>
        <v>1161.75</v>
      </c>
      <c r="AG20" s="99">
        <f t="shared" si="15"/>
        <v>4911.75</v>
      </c>
      <c r="AH20" s="95"/>
      <c r="AI20" s="95"/>
      <c r="AJ20" s="95">
        <f t="shared" si="16"/>
        <v>4911.75</v>
      </c>
      <c r="AK20" s="95">
        <f t="shared" si="24"/>
        <v>0</v>
      </c>
    </row>
    <row r="21" spans="1:37" s="29" customFormat="1" ht="15">
      <c r="A21" s="26" t="s">
        <v>170</v>
      </c>
      <c r="B21" s="182">
        <v>3513</v>
      </c>
      <c r="C21" s="7" t="s">
        <v>34</v>
      </c>
      <c r="D21" s="188" t="s">
        <v>176</v>
      </c>
      <c r="E21" s="188" t="s">
        <v>131</v>
      </c>
      <c r="F21" s="7" t="s">
        <v>0</v>
      </c>
      <c r="G21" t="s">
        <v>36</v>
      </c>
      <c r="H21" t="s">
        <v>186</v>
      </c>
      <c r="I21" s="5">
        <v>3</v>
      </c>
      <c r="J21" s="29">
        <f>$J$8/2</f>
        <v>15</v>
      </c>
      <c r="K21" s="100">
        <f>Table!$H$7*I21*J21</f>
        <v>11075.4</v>
      </c>
      <c r="L21" t="s">
        <v>75</v>
      </c>
      <c r="M21" s="29">
        <v>1</v>
      </c>
      <c r="N21" s="101">
        <v>50000</v>
      </c>
      <c r="O21" s="95">
        <f t="shared" si="19"/>
        <v>3750</v>
      </c>
      <c r="P21" s="95">
        <f>O21*Table!$H$1</f>
        <v>1161.75</v>
      </c>
      <c r="Q21" s="95">
        <f t="shared" si="5"/>
        <v>4911.75</v>
      </c>
      <c r="R21" s="95"/>
      <c r="S21" s="95">
        <f t="shared" si="6"/>
        <v>4911.75</v>
      </c>
      <c r="T21" s="96">
        <f t="shared" si="7"/>
        <v>6163.65</v>
      </c>
      <c r="U21"/>
      <c r="V21" s="15">
        <f t="shared" si="18"/>
        <v>15</v>
      </c>
      <c r="W21" s="27">
        <f t="shared" si="1"/>
        <v>1</v>
      </c>
      <c r="X21" s="98">
        <f t="shared" si="20"/>
        <v>1232.73</v>
      </c>
      <c r="Y21" s="133">
        <f t="shared" si="21"/>
        <v>3081.825</v>
      </c>
      <c r="Z21" s="98">
        <f t="shared" si="22"/>
        <v>1849.0949999999998</v>
      </c>
      <c r="AA21" s="12">
        <f t="shared" si="11"/>
        <v>0</v>
      </c>
      <c r="AB21" s="27">
        <f t="shared" si="2"/>
        <v>0</v>
      </c>
      <c r="AC21" s="96">
        <f t="shared" si="23"/>
        <v>0</v>
      </c>
      <c r="AD21"/>
      <c r="AE21" s="99">
        <f t="shared" si="13"/>
        <v>3750</v>
      </c>
      <c r="AF21" s="99">
        <f t="shared" si="14"/>
        <v>1161.75</v>
      </c>
      <c r="AG21" s="99">
        <f t="shared" si="15"/>
        <v>4911.75</v>
      </c>
      <c r="AH21" s="95"/>
      <c r="AI21" s="95"/>
      <c r="AJ21" s="95">
        <f t="shared" si="16"/>
        <v>4911.75</v>
      </c>
      <c r="AK21" s="95">
        <f t="shared" si="24"/>
        <v>0</v>
      </c>
    </row>
    <row r="22" spans="1:37" s="29" customFormat="1" ht="15">
      <c r="A22" s="26" t="s">
        <v>170</v>
      </c>
      <c r="B22" s="182">
        <v>3063</v>
      </c>
      <c r="C22" s="7" t="s">
        <v>34</v>
      </c>
      <c r="D22" s="188" t="s">
        <v>177</v>
      </c>
      <c r="E22" s="188" t="s">
        <v>131</v>
      </c>
      <c r="F22" s="7" t="s">
        <v>0</v>
      </c>
      <c r="G22" t="s">
        <v>36</v>
      </c>
      <c r="H22" t="s">
        <v>186</v>
      </c>
      <c r="I22" s="5">
        <v>3</v>
      </c>
      <c r="J22" s="29">
        <f aca="true" t="shared" si="25" ref="J22:J28">$J$8/2</f>
        <v>15</v>
      </c>
      <c r="K22" s="100">
        <f>Table!$H$7*I22*J22</f>
        <v>11075.4</v>
      </c>
      <c r="L22" t="s">
        <v>51</v>
      </c>
      <c r="M22" s="29">
        <v>1</v>
      </c>
      <c r="N22" s="101">
        <v>50000</v>
      </c>
      <c r="O22" s="95">
        <f t="shared" si="19"/>
        <v>3750</v>
      </c>
      <c r="P22" s="95">
        <f>O22*Table!$H$1</f>
        <v>1161.75</v>
      </c>
      <c r="Q22" s="95">
        <f t="shared" si="5"/>
        <v>4911.75</v>
      </c>
      <c r="R22" s="95"/>
      <c r="S22" s="95">
        <f t="shared" si="6"/>
        <v>4911.75</v>
      </c>
      <c r="T22" s="96">
        <f t="shared" si="7"/>
        <v>6163.65</v>
      </c>
      <c r="U22"/>
      <c r="V22" s="15">
        <f t="shared" si="18"/>
        <v>15</v>
      </c>
      <c r="W22" s="27">
        <f t="shared" si="1"/>
        <v>1</v>
      </c>
      <c r="X22" s="98">
        <f t="shared" si="20"/>
        <v>1232.73</v>
      </c>
      <c r="Y22" s="133">
        <f t="shared" si="21"/>
        <v>3081.825</v>
      </c>
      <c r="Z22" s="98">
        <f t="shared" si="22"/>
        <v>1849.0949999999998</v>
      </c>
      <c r="AA22" s="12">
        <f t="shared" si="11"/>
        <v>0</v>
      </c>
      <c r="AB22" s="27">
        <f t="shared" si="2"/>
        <v>0</v>
      </c>
      <c r="AC22" s="96">
        <f t="shared" si="23"/>
        <v>0</v>
      </c>
      <c r="AD22"/>
      <c r="AE22" s="99">
        <f t="shared" si="13"/>
        <v>3750</v>
      </c>
      <c r="AF22" s="99">
        <f t="shared" si="14"/>
        <v>1161.75</v>
      </c>
      <c r="AG22" s="99">
        <f t="shared" si="15"/>
        <v>4911.75</v>
      </c>
      <c r="AH22" s="95"/>
      <c r="AI22" s="95"/>
      <c r="AJ22" s="95">
        <f t="shared" si="16"/>
        <v>4911.75</v>
      </c>
      <c r="AK22" s="95">
        <f t="shared" si="24"/>
        <v>0</v>
      </c>
    </row>
    <row r="23" spans="1:37" s="29" customFormat="1" ht="15">
      <c r="A23" s="26" t="s">
        <v>165</v>
      </c>
      <c r="B23" s="182">
        <v>3503</v>
      </c>
      <c r="C23" s="7" t="s">
        <v>34</v>
      </c>
      <c r="D23" s="188" t="s">
        <v>178</v>
      </c>
      <c r="E23" s="188" t="s">
        <v>120</v>
      </c>
      <c r="F23" s="7" t="s">
        <v>0</v>
      </c>
      <c r="G23" t="s">
        <v>36</v>
      </c>
      <c r="H23" t="s">
        <v>186</v>
      </c>
      <c r="I23" s="5">
        <v>3</v>
      </c>
      <c r="J23" s="29">
        <f t="shared" si="25"/>
        <v>15</v>
      </c>
      <c r="K23" s="100">
        <f>Table!$H$7*I23*J23</f>
        <v>11075.4</v>
      </c>
      <c r="L23" t="s">
        <v>47</v>
      </c>
      <c r="M23" s="29">
        <v>1</v>
      </c>
      <c r="N23" s="101">
        <v>50000</v>
      </c>
      <c r="O23" s="95">
        <f t="shared" si="19"/>
        <v>6000</v>
      </c>
      <c r="P23" s="95">
        <f>O23*Table!$H$1</f>
        <v>1858.8000000000002</v>
      </c>
      <c r="Q23" s="95">
        <f t="shared" si="5"/>
        <v>7858.8</v>
      </c>
      <c r="R23" s="95"/>
      <c r="S23" s="95">
        <f t="shared" si="6"/>
        <v>7858.8</v>
      </c>
      <c r="T23" s="96">
        <f t="shared" si="7"/>
        <v>3216.5999999999995</v>
      </c>
      <c r="U23"/>
      <c r="V23" s="15">
        <f t="shared" si="18"/>
        <v>15</v>
      </c>
      <c r="W23" s="27">
        <f t="shared" si="1"/>
        <v>1</v>
      </c>
      <c r="X23" s="98">
        <f t="shared" si="20"/>
        <v>643.3199999999999</v>
      </c>
      <c r="Y23" s="133">
        <f t="shared" si="21"/>
        <v>1608.2999999999997</v>
      </c>
      <c r="Z23" s="98">
        <f t="shared" si="22"/>
        <v>964.9799999999998</v>
      </c>
      <c r="AA23" s="12">
        <f t="shared" si="11"/>
        <v>0</v>
      </c>
      <c r="AB23" s="27">
        <f t="shared" si="2"/>
        <v>0</v>
      </c>
      <c r="AC23" s="96">
        <f t="shared" si="23"/>
        <v>0</v>
      </c>
      <c r="AD23"/>
      <c r="AE23" s="99">
        <f t="shared" si="13"/>
        <v>6000</v>
      </c>
      <c r="AF23" s="99">
        <f t="shared" si="14"/>
        <v>1858.8000000000002</v>
      </c>
      <c r="AG23" s="99">
        <f t="shared" si="15"/>
        <v>7858.8</v>
      </c>
      <c r="AH23" s="95"/>
      <c r="AI23" s="95"/>
      <c r="AJ23" s="95">
        <f t="shared" si="16"/>
        <v>7858.8</v>
      </c>
      <c r="AK23" s="95">
        <f t="shared" si="24"/>
        <v>0</v>
      </c>
    </row>
    <row r="24" spans="1:37" s="29" customFormat="1" ht="15">
      <c r="A24" s="26" t="s">
        <v>165</v>
      </c>
      <c r="B24" s="182">
        <v>4013</v>
      </c>
      <c r="C24" s="7" t="s">
        <v>34</v>
      </c>
      <c r="D24" s="188" t="s">
        <v>179</v>
      </c>
      <c r="E24" s="188" t="s">
        <v>131</v>
      </c>
      <c r="F24" s="7" t="s">
        <v>0</v>
      </c>
      <c r="G24" t="s">
        <v>36</v>
      </c>
      <c r="H24" t="s">
        <v>186</v>
      </c>
      <c r="I24" s="5">
        <v>3</v>
      </c>
      <c r="J24" s="29">
        <f t="shared" si="25"/>
        <v>15</v>
      </c>
      <c r="K24" s="100">
        <f>Table!$H$7*I24*J24</f>
        <v>11075.4</v>
      </c>
      <c r="L24" t="s">
        <v>50</v>
      </c>
      <c r="M24" s="29">
        <v>1</v>
      </c>
      <c r="N24" s="101">
        <v>50000</v>
      </c>
      <c r="O24" s="95">
        <f t="shared" si="19"/>
        <v>3750</v>
      </c>
      <c r="P24" s="95">
        <f>O24*Table!$H$1</f>
        <v>1161.75</v>
      </c>
      <c r="Q24" s="95">
        <f t="shared" si="5"/>
        <v>4911.75</v>
      </c>
      <c r="R24" s="95"/>
      <c r="S24" s="95">
        <f t="shared" si="6"/>
        <v>4911.75</v>
      </c>
      <c r="T24" s="96">
        <f t="shared" si="7"/>
        <v>6163.65</v>
      </c>
      <c r="U24"/>
      <c r="V24" s="15">
        <f t="shared" si="18"/>
        <v>15</v>
      </c>
      <c r="W24" s="27">
        <f t="shared" si="1"/>
        <v>1</v>
      </c>
      <c r="X24" s="98">
        <f t="shared" si="20"/>
        <v>1232.73</v>
      </c>
      <c r="Y24" s="133">
        <f t="shared" si="21"/>
        <v>3081.825</v>
      </c>
      <c r="Z24" s="98">
        <f t="shared" si="22"/>
        <v>1849.0949999999998</v>
      </c>
      <c r="AA24" s="12">
        <f t="shared" si="11"/>
        <v>0</v>
      </c>
      <c r="AB24" s="27">
        <f t="shared" si="2"/>
        <v>0</v>
      </c>
      <c r="AC24" s="96">
        <f t="shared" si="23"/>
        <v>0</v>
      </c>
      <c r="AD24"/>
      <c r="AE24" s="99" t="str">
        <f t="shared" si="13"/>
        <v>0.00</v>
      </c>
      <c r="AF24" s="99" t="str">
        <f t="shared" si="14"/>
        <v>0.00</v>
      </c>
      <c r="AG24" s="99" t="str">
        <f t="shared" si="15"/>
        <v>0.00</v>
      </c>
      <c r="AH24" s="95"/>
      <c r="AI24" s="95"/>
      <c r="AJ24" s="95">
        <f t="shared" si="16"/>
        <v>0</v>
      </c>
      <c r="AK24" s="95">
        <f t="shared" si="24"/>
        <v>4911.75</v>
      </c>
    </row>
    <row r="25" spans="1:37" s="29" customFormat="1" ht="15">
      <c r="A25" s="26" t="s">
        <v>165</v>
      </c>
      <c r="B25" s="182">
        <v>4043</v>
      </c>
      <c r="C25" s="7" t="s">
        <v>34</v>
      </c>
      <c r="D25" s="188" t="s">
        <v>180</v>
      </c>
      <c r="E25" s="188" t="s">
        <v>192</v>
      </c>
      <c r="F25" s="7" t="s">
        <v>0</v>
      </c>
      <c r="G25" t="s">
        <v>36</v>
      </c>
      <c r="H25" t="s">
        <v>186</v>
      </c>
      <c r="I25" s="5">
        <v>3</v>
      </c>
      <c r="J25" s="29">
        <f t="shared" si="25"/>
        <v>15</v>
      </c>
      <c r="K25" s="100">
        <f>Table!$H$7*I25*J25</f>
        <v>11075.4</v>
      </c>
      <c r="L25" t="s">
        <v>75</v>
      </c>
      <c r="M25" s="29">
        <v>1</v>
      </c>
      <c r="N25" s="101">
        <v>50000</v>
      </c>
      <c r="O25" s="95">
        <f t="shared" si="19"/>
        <v>3750</v>
      </c>
      <c r="P25" s="95">
        <f>O25*Table!$H$1</f>
        <v>1161.75</v>
      </c>
      <c r="Q25" s="95">
        <f t="shared" si="5"/>
        <v>4911.75</v>
      </c>
      <c r="R25" s="95"/>
      <c r="S25" s="95">
        <f t="shared" si="6"/>
        <v>4911.75</v>
      </c>
      <c r="T25" s="96">
        <f t="shared" si="7"/>
        <v>6163.65</v>
      </c>
      <c r="U25"/>
      <c r="V25" s="15">
        <f t="shared" si="18"/>
        <v>15</v>
      </c>
      <c r="W25" s="27">
        <f t="shared" si="1"/>
        <v>1</v>
      </c>
      <c r="X25" s="98">
        <f t="shared" si="20"/>
        <v>1232.73</v>
      </c>
      <c r="Y25" s="133">
        <f t="shared" si="21"/>
        <v>3081.825</v>
      </c>
      <c r="Z25" s="98">
        <f t="shared" si="22"/>
        <v>1849.0949999999998</v>
      </c>
      <c r="AA25" s="12">
        <f t="shared" si="11"/>
        <v>0</v>
      </c>
      <c r="AB25" s="27">
        <f t="shared" si="2"/>
        <v>0</v>
      </c>
      <c r="AC25" s="96">
        <f t="shared" si="23"/>
        <v>0</v>
      </c>
      <c r="AD25"/>
      <c r="AE25" s="99">
        <f t="shared" si="13"/>
        <v>3750</v>
      </c>
      <c r="AF25" s="99">
        <f t="shared" si="14"/>
        <v>1161.75</v>
      </c>
      <c r="AG25" s="99">
        <f t="shared" si="15"/>
        <v>4911.75</v>
      </c>
      <c r="AH25" s="95"/>
      <c r="AI25" s="95"/>
      <c r="AJ25" s="95">
        <f t="shared" si="16"/>
        <v>4911.75</v>
      </c>
      <c r="AK25" s="95">
        <f t="shared" si="24"/>
        <v>0</v>
      </c>
    </row>
    <row r="26" spans="1:37" s="29" customFormat="1" ht="15">
      <c r="A26" s="26" t="s">
        <v>167</v>
      </c>
      <c r="B26" s="182">
        <v>4013</v>
      </c>
      <c r="C26" s="7" t="s">
        <v>34</v>
      </c>
      <c r="D26" s="188" t="s">
        <v>181</v>
      </c>
      <c r="E26" s="188" t="s">
        <v>192</v>
      </c>
      <c r="F26" s="7" t="s">
        <v>0</v>
      </c>
      <c r="G26" t="s">
        <v>36</v>
      </c>
      <c r="H26" t="s">
        <v>186</v>
      </c>
      <c r="I26" s="5">
        <v>3</v>
      </c>
      <c r="J26" s="29">
        <f t="shared" si="25"/>
        <v>15</v>
      </c>
      <c r="K26" s="100">
        <f>Table!$H$7*I26*J26</f>
        <v>11075.4</v>
      </c>
      <c r="L26" t="s">
        <v>50</v>
      </c>
      <c r="M26" s="29">
        <v>1</v>
      </c>
      <c r="N26" s="101">
        <v>50000</v>
      </c>
      <c r="O26" s="95">
        <f t="shared" si="19"/>
        <v>3750</v>
      </c>
      <c r="P26" s="95">
        <f>O26*Table!$H$1</f>
        <v>1161.75</v>
      </c>
      <c r="Q26" s="95">
        <f t="shared" si="5"/>
        <v>4911.75</v>
      </c>
      <c r="R26" s="95"/>
      <c r="S26" s="95">
        <f t="shared" si="6"/>
        <v>4911.75</v>
      </c>
      <c r="T26" s="96">
        <f t="shared" si="7"/>
        <v>6163.65</v>
      </c>
      <c r="U26"/>
      <c r="V26" s="15">
        <f t="shared" si="18"/>
        <v>15</v>
      </c>
      <c r="W26" s="27">
        <f t="shared" si="1"/>
        <v>1</v>
      </c>
      <c r="X26" s="98">
        <f t="shared" si="20"/>
        <v>1232.73</v>
      </c>
      <c r="Y26" s="133">
        <f t="shared" si="21"/>
        <v>3081.825</v>
      </c>
      <c r="Z26" s="98">
        <f t="shared" si="22"/>
        <v>1849.0949999999998</v>
      </c>
      <c r="AA26" s="12">
        <f t="shared" si="11"/>
        <v>0</v>
      </c>
      <c r="AB26" s="27">
        <f t="shared" si="2"/>
        <v>0</v>
      </c>
      <c r="AC26" s="96">
        <f t="shared" si="23"/>
        <v>0</v>
      </c>
      <c r="AD26"/>
      <c r="AE26" s="99" t="str">
        <f t="shared" si="13"/>
        <v>0.00</v>
      </c>
      <c r="AF26" s="99" t="str">
        <f t="shared" si="14"/>
        <v>0.00</v>
      </c>
      <c r="AG26" s="99" t="str">
        <f t="shared" si="15"/>
        <v>0.00</v>
      </c>
      <c r="AH26" s="95"/>
      <c r="AI26" s="95"/>
      <c r="AJ26" s="95">
        <f t="shared" si="16"/>
        <v>0</v>
      </c>
      <c r="AK26" s="95">
        <f t="shared" si="24"/>
        <v>4911.75</v>
      </c>
    </row>
    <row r="27" spans="1:37" s="29" customFormat="1" ht="15">
      <c r="A27" s="26" t="s">
        <v>165</v>
      </c>
      <c r="B27" s="182">
        <v>3413</v>
      </c>
      <c r="C27" s="7" t="s">
        <v>34</v>
      </c>
      <c r="D27" s="188" t="s">
        <v>179</v>
      </c>
      <c r="E27" s="188" t="s">
        <v>192</v>
      </c>
      <c r="F27" s="7" t="s">
        <v>0</v>
      </c>
      <c r="G27" t="s">
        <v>36</v>
      </c>
      <c r="H27" t="s">
        <v>186</v>
      </c>
      <c r="I27" s="5">
        <v>3</v>
      </c>
      <c r="J27" s="29">
        <f t="shared" si="25"/>
        <v>15</v>
      </c>
      <c r="K27" s="100">
        <f>Table!$H$7*I27*J27</f>
        <v>11075.4</v>
      </c>
      <c r="L27" t="s">
        <v>50</v>
      </c>
      <c r="M27" s="29">
        <v>1</v>
      </c>
      <c r="N27" s="101">
        <v>50000</v>
      </c>
      <c r="O27" s="95">
        <f t="shared" si="19"/>
        <v>3750</v>
      </c>
      <c r="P27" s="95">
        <f>O27*Table!$H$1</f>
        <v>1161.75</v>
      </c>
      <c r="Q27" s="95">
        <f t="shared" si="5"/>
        <v>4911.75</v>
      </c>
      <c r="R27" s="95"/>
      <c r="S27" s="95">
        <f t="shared" si="6"/>
        <v>4911.75</v>
      </c>
      <c r="T27" s="96">
        <f t="shared" si="7"/>
        <v>6163.65</v>
      </c>
      <c r="U27"/>
      <c r="V27" s="15">
        <f t="shared" si="18"/>
        <v>15</v>
      </c>
      <c r="W27" s="27">
        <f t="shared" si="1"/>
        <v>1</v>
      </c>
      <c r="X27" s="98">
        <f t="shared" si="20"/>
        <v>1232.73</v>
      </c>
      <c r="Y27" s="133">
        <f t="shared" si="21"/>
        <v>3081.825</v>
      </c>
      <c r="Z27" s="98">
        <f t="shared" si="22"/>
        <v>1849.0949999999998</v>
      </c>
      <c r="AA27" s="12">
        <f t="shared" si="11"/>
        <v>0</v>
      </c>
      <c r="AB27" s="27">
        <f t="shared" si="2"/>
        <v>0</v>
      </c>
      <c r="AC27" s="96">
        <f t="shared" si="23"/>
        <v>0</v>
      </c>
      <c r="AD27"/>
      <c r="AE27" s="99" t="str">
        <f t="shared" si="13"/>
        <v>0.00</v>
      </c>
      <c r="AF27" s="99" t="str">
        <f t="shared" si="14"/>
        <v>0.00</v>
      </c>
      <c r="AG27" s="99" t="str">
        <f t="shared" si="15"/>
        <v>0.00</v>
      </c>
      <c r="AH27" s="95"/>
      <c r="AI27" s="95"/>
      <c r="AJ27" s="95">
        <f t="shared" si="16"/>
        <v>0</v>
      </c>
      <c r="AK27" s="95">
        <f t="shared" si="24"/>
        <v>4911.75</v>
      </c>
    </row>
    <row r="28" spans="1:37" s="29" customFormat="1" ht="15">
      <c r="A28" s="26" t="s">
        <v>167</v>
      </c>
      <c r="B28" s="182">
        <v>3413</v>
      </c>
      <c r="C28" s="7" t="s">
        <v>34</v>
      </c>
      <c r="D28" s="188" t="s">
        <v>181</v>
      </c>
      <c r="E28" s="188" t="s">
        <v>131</v>
      </c>
      <c r="F28" s="7" t="s">
        <v>0</v>
      </c>
      <c r="G28" t="s">
        <v>36</v>
      </c>
      <c r="H28" t="s">
        <v>186</v>
      </c>
      <c r="I28" s="5">
        <v>3</v>
      </c>
      <c r="J28" s="29">
        <f t="shared" si="25"/>
        <v>15</v>
      </c>
      <c r="K28" s="100">
        <f>Table!$H$7*I28*J28</f>
        <v>11075.4</v>
      </c>
      <c r="L28" t="s">
        <v>50</v>
      </c>
      <c r="M28" s="29">
        <v>1</v>
      </c>
      <c r="N28" s="101">
        <v>50000</v>
      </c>
      <c r="O28" s="95">
        <f t="shared" si="19"/>
        <v>3750</v>
      </c>
      <c r="P28" s="95">
        <f>O28*Table!$H$1</f>
        <v>1161.75</v>
      </c>
      <c r="Q28" s="95">
        <f t="shared" si="5"/>
        <v>4911.75</v>
      </c>
      <c r="R28" s="95"/>
      <c r="S28" s="95">
        <f t="shared" si="6"/>
        <v>4911.75</v>
      </c>
      <c r="T28" s="96">
        <f t="shared" si="7"/>
        <v>6163.65</v>
      </c>
      <c r="U28"/>
      <c r="V28" s="15">
        <f t="shared" si="18"/>
        <v>15</v>
      </c>
      <c r="W28" s="27">
        <f t="shared" si="1"/>
        <v>1</v>
      </c>
      <c r="X28" s="98">
        <f t="shared" si="20"/>
        <v>1232.73</v>
      </c>
      <c r="Y28" s="133">
        <f t="shared" si="21"/>
        <v>3081.825</v>
      </c>
      <c r="Z28" s="98">
        <f t="shared" si="22"/>
        <v>1849.0949999999998</v>
      </c>
      <c r="AA28" s="12">
        <f t="shared" si="11"/>
        <v>0</v>
      </c>
      <c r="AB28" s="27">
        <f t="shared" si="2"/>
        <v>0</v>
      </c>
      <c r="AC28" s="96">
        <f t="shared" si="23"/>
        <v>0</v>
      </c>
      <c r="AD28"/>
      <c r="AE28" s="99" t="str">
        <f t="shared" si="13"/>
        <v>0.00</v>
      </c>
      <c r="AF28" s="99" t="str">
        <f t="shared" si="14"/>
        <v>0.00</v>
      </c>
      <c r="AG28" s="99" t="str">
        <f t="shared" si="15"/>
        <v>0.00</v>
      </c>
      <c r="AH28" s="95"/>
      <c r="AI28" s="95"/>
      <c r="AJ28" s="95">
        <f t="shared" si="16"/>
        <v>0</v>
      </c>
      <c r="AK28" s="95">
        <f t="shared" si="24"/>
        <v>4911.75</v>
      </c>
    </row>
    <row r="29" spans="25:37" ht="15">
      <c r="Y29" s="77"/>
      <c r="AE29" s="28"/>
      <c r="AF29" s="28"/>
      <c r="AG29" s="28"/>
      <c r="AH29" s="28"/>
      <c r="AI29" s="28"/>
      <c r="AJ29" s="28"/>
      <c r="AK29" s="28"/>
    </row>
    <row r="30" spans="1:37" s="29" customFormat="1" ht="15">
      <c r="A30" s="56"/>
      <c r="I30" s="57"/>
      <c r="K30" s="58"/>
      <c r="N30" s="59"/>
      <c r="O30" s="60"/>
      <c r="P30" s="60"/>
      <c r="Q30" s="60"/>
      <c r="R30"/>
      <c r="S30"/>
      <c r="T30"/>
      <c r="U30"/>
      <c r="V30"/>
      <c r="W30"/>
      <c r="X30"/>
      <c r="Y30" s="77"/>
      <c r="Z30"/>
      <c r="AA30"/>
      <c r="AB30"/>
      <c r="AC30"/>
      <c r="AD30"/>
      <c r="AE30" s="28"/>
      <c r="AF30" s="28"/>
      <c r="AG30" s="28"/>
      <c r="AH30" s="28"/>
      <c r="AI30" s="28"/>
      <c r="AJ30" s="28"/>
      <c r="AK30" s="28"/>
    </row>
    <row r="31" spans="1:30" s="29" customFormat="1" ht="15">
      <c r="A31" s="56"/>
      <c r="I31" s="57"/>
      <c r="K31" s="58"/>
      <c r="N31" s="59"/>
      <c r="O31" s="60"/>
      <c r="P31" s="60"/>
      <c r="Q31" s="60"/>
      <c r="R31" s="61"/>
      <c r="S31" s="60"/>
      <c r="T31" s="60"/>
      <c r="U31"/>
      <c r="V31" s="60"/>
      <c r="W31" s="62"/>
      <c r="Y31" s="134"/>
      <c r="AD31"/>
    </row>
    <row r="32" spans="1:30" s="29" customFormat="1" ht="15">
      <c r="A32" s="56"/>
      <c r="I32" s="57"/>
      <c r="K32" s="58"/>
      <c r="N32" s="59"/>
      <c r="O32" s="60"/>
      <c r="P32" s="60"/>
      <c r="Q32" s="60"/>
      <c r="R32" s="61"/>
      <c r="S32" s="60"/>
      <c r="T32" s="60"/>
      <c r="U32" s="148"/>
      <c r="V32" s="60"/>
      <c r="W32" s="62"/>
      <c r="Y32" s="134"/>
      <c r="AD32" s="148"/>
    </row>
    <row r="33" spans="1:37" s="29" customFormat="1" ht="15">
      <c r="A33" s="190" t="s">
        <v>182</v>
      </c>
      <c r="B33" s="187"/>
      <c r="C33" s="187"/>
      <c r="I33" s="57"/>
      <c r="J33" s="63"/>
      <c r="K33" s="144"/>
      <c r="L33" s="145"/>
      <c r="M33" s="146"/>
      <c r="N33" s="146"/>
      <c r="O33" s="147"/>
      <c r="P33" s="147"/>
      <c r="Q33" s="147"/>
      <c r="R33" s="147"/>
      <c r="S33" s="147"/>
      <c r="T33" s="144"/>
      <c r="U33" s="148"/>
      <c r="V33" s="149"/>
      <c r="W33" s="150"/>
      <c r="X33" s="151"/>
      <c r="Y33" s="152"/>
      <c r="Z33" s="151"/>
      <c r="AA33" s="149"/>
      <c r="AB33" s="150"/>
      <c r="AC33" s="144"/>
      <c r="AD33" s="148"/>
      <c r="AE33" s="147"/>
      <c r="AF33" s="147"/>
      <c r="AG33" s="147"/>
      <c r="AH33" s="147"/>
      <c r="AI33" s="147"/>
      <c r="AJ33" s="147"/>
      <c r="AK33" s="147"/>
    </row>
    <row r="34" spans="1:30" s="29" customFormat="1" ht="15">
      <c r="A34" s="189" t="s">
        <v>183</v>
      </c>
      <c r="B34" s="188"/>
      <c r="C34" s="188"/>
      <c r="I34" s="57"/>
      <c r="K34" s="58"/>
      <c r="N34" s="59"/>
      <c r="O34" s="60"/>
      <c r="P34" s="60"/>
      <c r="Q34" s="60"/>
      <c r="R34" s="61"/>
      <c r="S34" s="60"/>
      <c r="T34" s="60"/>
      <c r="U34" s="148"/>
      <c r="V34" s="60"/>
      <c r="W34" s="62"/>
      <c r="Y34" s="134"/>
      <c r="AD34" s="148"/>
    </row>
    <row r="35" spans="1:30" s="29" customFormat="1" ht="15">
      <c r="A35" s="56"/>
      <c r="I35" s="57"/>
      <c r="K35" s="58"/>
      <c r="N35" s="59"/>
      <c r="O35" s="60"/>
      <c r="P35" s="60"/>
      <c r="Q35" s="60"/>
      <c r="R35" s="61"/>
      <c r="S35" s="60"/>
      <c r="T35" s="60"/>
      <c r="U35" s="148"/>
      <c r="V35" s="60"/>
      <c r="W35" s="62"/>
      <c r="Y35" s="134"/>
      <c r="AD35" s="148"/>
    </row>
    <row r="36" spans="1:37" s="29" customFormat="1" ht="15">
      <c r="A36" s="56"/>
      <c r="I36" s="57"/>
      <c r="J36" s="153"/>
      <c r="K36" s="144"/>
      <c r="L36" s="145"/>
      <c r="M36" s="146"/>
      <c r="N36" s="146"/>
      <c r="O36" s="147"/>
      <c r="P36" s="147"/>
      <c r="Q36" s="147"/>
      <c r="R36" s="147"/>
      <c r="S36" s="147"/>
      <c r="T36" s="144"/>
      <c r="U36" s="148"/>
      <c r="V36" s="149"/>
      <c r="W36" s="150"/>
      <c r="X36" s="151"/>
      <c r="Y36" s="152"/>
      <c r="Z36" s="151"/>
      <c r="AA36" s="149"/>
      <c r="AB36" s="150"/>
      <c r="AC36" s="144"/>
      <c r="AD36" s="148"/>
      <c r="AE36" s="147"/>
      <c r="AF36" s="147"/>
      <c r="AG36" s="147"/>
      <c r="AH36" s="147"/>
      <c r="AI36" s="147"/>
      <c r="AJ36" s="147"/>
      <c r="AK36" s="147"/>
    </row>
    <row r="37" spans="1:30" s="29" customFormat="1" ht="15">
      <c r="A37" s="56"/>
      <c r="I37" s="57"/>
      <c r="J37" s="119"/>
      <c r="K37" s="58"/>
      <c r="N37" s="59"/>
      <c r="O37" s="60"/>
      <c r="P37" s="60"/>
      <c r="Q37" s="60"/>
      <c r="R37" s="61"/>
      <c r="S37" s="60"/>
      <c r="T37" s="60"/>
      <c r="U37" s="148"/>
      <c r="V37" s="60"/>
      <c r="W37" s="62"/>
      <c r="Y37" s="134"/>
      <c r="AD37" s="148"/>
    </row>
    <row r="38" spans="1:37" s="29" customFormat="1" ht="15">
      <c r="A38" s="56"/>
      <c r="I38" s="57"/>
      <c r="J38" s="153"/>
      <c r="K38" s="144"/>
      <c r="L38" s="145"/>
      <c r="M38" s="146"/>
      <c r="N38" s="146"/>
      <c r="O38" s="147"/>
      <c r="P38" s="147"/>
      <c r="Q38" s="147"/>
      <c r="R38" s="147"/>
      <c r="S38" s="147"/>
      <c r="T38" s="144"/>
      <c r="U38" s="148"/>
      <c r="V38" s="149"/>
      <c r="W38" s="150"/>
      <c r="X38" s="151"/>
      <c r="Y38" s="152"/>
      <c r="Z38" s="151"/>
      <c r="AA38" s="149"/>
      <c r="AB38" s="150"/>
      <c r="AC38" s="144"/>
      <c r="AD38" s="148"/>
      <c r="AE38" s="147"/>
      <c r="AF38" s="147"/>
      <c r="AG38" s="147"/>
      <c r="AH38" s="147"/>
      <c r="AI38" s="147"/>
      <c r="AJ38" s="147"/>
      <c r="AK38" s="147"/>
    </row>
    <row r="39" spans="1:30" s="29" customFormat="1" ht="15">
      <c r="A39" s="56"/>
      <c r="I39" s="57"/>
      <c r="J39" s="119"/>
      <c r="K39" s="58"/>
      <c r="N39" s="59"/>
      <c r="O39" s="60"/>
      <c r="P39" s="60"/>
      <c r="Q39" s="60"/>
      <c r="R39" s="61"/>
      <c r="S39" s="60"/>
      <c r="T39" s="60"/>
      <c r="U39" s="148"/>
      <c r="V39" s="60"/>
      <c r="W39" s="62"/>
      <c r="Y39" s="134"/>
      <c r="AD39" s="148"/>
    </row>
    <row r="40" spans="1:30" s="29" customFormat="1" ht="15">
      <c r="A40" s="56"/>
      <c r="I40" s="57"/>
      <c r="J40" s="119"/>
      <c r="K40" s="58"/>
      <c r="N40" s="59"/>
      <c r="O40" s="60"/>
      <c r="P40" s="60"/>
      <c r="Q40" s="60"/>
      <c r="R40" s="61"/>
      <c r="S40" s="60"/>
      <c r="T40" s="60"/>
      <c r="U40" s="148"/>
      <c r="V40" s="60"/>
      <c r="W40" s="62"/>
      <c r="Y40" s="134"/>
      <c r="AD40" s="148"/>
    </row>
    <row r="41" spans="1:37" s="29" customFormat="1" ht="15">
      <c r="A41" s="56"/>
      <c r="I41" s="57"/>
      <c r="J41" s="153"/>
      <c r="K41" s="144"/>
      <c r="L41" s="145"/>
      <c r="M41" s="146"/>
      <c r="N41" s="146"/>
      <c r="O41" s="147"/>
      <c r="P41" s="147"/>
      <c r="Q41" s="147"/>
      <c r="R41" s="147"/>
      <c r="S41" s="147"/>
      <c r="T41" s="144"/>
      <c r="U41" s="148"/>
      <c r="V41" s="149"/>
      <c r="W41" s="150"/>
      <c r="X41" s="151"/>
      <c r="Y41" s="152"/>
      <c r="Z41" s="151"/>
      <c r="AA41" s="149"/>
      <c r="AB41" s="150"/>
      <c r="AC41" s="144"/>
      <c r="AD41" s="148"/>
      <c r="AE41" s="147"/>
      <c r="AF41" s="147"/>
      <c r="AG41" s="147"/>
      <c r="AH41" s="147"/>
      <c r="AI41" s="147"/>
      <c r="AJ41" s="147"/>
      <c r="AK41" s="147"/>
    </row>
    <row r="42" spans="1:30" s="29" customFormat="1" ht="15">
      <c r="A42" s="56"/>
      <c r="I42" s="57"/>
      <c r="J42" s="119"/>
      <c r="K42" s="58"/>
      <c r="N42" s="59"/>
      <c r="O42" s="60"/>
      <c r="P42" s="60"/>
      <c r="Q42" s="60"/>
      <c r="R42" s="61"/>
      <c r="S42" s="60"/>
      <c r="T42" s="60"/>
      <c r="U42" s="148"/>
      <c r="V42" s="60"/>
      <c r="W42" s="62"/>
      <c r="Y42" s="134"/>
      <c r="AD42" s="148"/>
    </row>
    <row r="43" spans="1:37" s="29" customFormat="1" ht="15">
      <c r="A43" s="56"/>
      <c r="I43" s="57"/>
      <c r="J43" s="153"/>
      <c r="K43" s="144"/>
      <c r="L43" s="145"/>
      <c r="M43" s="146"/>
      <c r="N43" s="146"/>
      <c r="O43" s="147"/>
      <c r="P43" s="147"/>
      <c r="Q43" s="147"/>
      <c r="R43" s="147"/>
      <c r="S43" s="147"/>
      <c r="T43" s="144"/>
      <c r="U43" s="148"/>
      <c r="V43" s="149"/>
      <c r="W43" s="150"/>
      <c r="X43" s="151"/>
      <c r="Y43" s="152"/>
      <c r="Z43" s="151"/>
      <c r="AA43" s="149"/>
      <c r="AB43" s="150"/>
      <c r="AC43" s="144"/>
      <c r="AD43" s="148"/>
      <c r="AE43" s="147"/>
      <c r="AF43" s="147"/>
      <c r="AG43" s="147"/>
      <c r="AH43" s="147"/>
      <c r="AI43" s="147"/>
      <c r="AJ43" s="147"/>
      <c r="AK43" s="147"/>
    </row>
    <row r="44" spans="1:30" s="29" customFormat="1" ht="15">
      <c r="A44" s="56"/>
      <c r="I44" s="57"/>
      <c r="K44" s="58"/>
      <c r="N44" s="59"/>
      <c r="O44" s="60"/>
      <c r="P44" s="60"/>
      <c r="Q44" s="60"/>
      <c r="R44" s="61"/>
      <c r="S44" s="60"/>
      <c r="T44" s="60"/>
      <c r="U44" s="148"/>
      <c r="V44" s="60"/>
      <c r="W44" s="62"/>
      <c r="Y44" s="134"/>
      <c r="AB44" s="63"/>
      <c r="AC44" s="63"/>
      <c r="AD44" s="148"/>
    </row>
    <row r="45" spans="1:30" s="29" customFormat="1" ht="15">
      <c r="A45" s="64"/>
      <c r="C45" s="63"/>
      <c r="F45" s="63"/>
      <c r="I45" s="57"/>
      <c r="K45" s="58"/>
      <c r="N45" s="59"/>
      <c r="O45" s="60"/>
      <c r="P45" s="60"/>
      <c r="Q45" s="60"/>
      <c r="R45" s="61"/>
      <c r="S45" s="60"/>
      <c r="T45" s="60"/>
      <c r="U45" s="148"/>
      <c r="V45" s="60"/>
      <c r="W45" s="62"/>
      <c r="Y45" s="134"/>
      <c r="AD45" s="148"/>
    </row>
    <row r="46" spans="1:37" s="29" customFormat="1" ht="15">
      <c r="A46" s="64"/>
      <c r="C46" s="63"/>
      <c r="F46" s="63"/>
      <c r="I46" s="57"/>
      <c r="J46" s="63"/>
      <c r="K46" s="144"/>
      <c r="L46" s="145"/>
      <c r="M46" s="146"/>
      <c r="N46" s="146"/>
      <c r="O46" s="147"/>
      <c r="P46" s="147"/>
      <c r="Q46" s="147"/>
      <c r="R46" s="147"/>
      <c r="S46" s="147"/>
      <c r="T46" s="144"/>
      <c r="U46" s="148"/>
      <c r="V46" s="149"/>
      <c r="W46" s="150"/>
      <c r="X46" s="151"/>
      <c r="Y46" s="152"/>
      <c r="Z46" s="151"/>
      <c r="AA46" s="149"/>
      <c r="AB46" s="150"/>
      <c r="AC46" s="144"/>
      <c r="AD46" s="148"/>
      <c r="AE46" s="147"/>
      <c r="AF46" s="147"/>
      <c r="AG46" s="147"/>
      <c r="AH46" s="147"/>
      <c r="AI46" s="147"/>
      <c r="AJ46" s="147"/>
      <c r="AK46" s="147"/>
    </row>
    <row r="47" spans="1:30" s="29" customFormat="1" ht="15">
      <c r="A47" s="64"/>
      <c r="C47" s="63"/>
      <c r="F47" s="63"/>
      <c r="I47" s="57"/>
      <c r="K47" s="58"/>
      <c r="N47" s="59"/>
      <c r="O47" s="60"/>
      <c r="P47" s="60"/>
      <c r="Q47" s="60"/>
      <c r="R47" s="61"/>
      <c r="S47" s="60"/>
      <c r="T47" s="60"/>
      <c r="U47" s="148"/>
      <c r="V47" s="60"/>
      <c r="W47" s="62"/>
      <c r="Y47" s="134"/>
      <c r="AD47" s="148"/>
    </row>
    <row r="48" spans="1:37" s="29" customFormat="1" ht="15">
      <c r="A48" s="64"/>
      <c r="C48" s="63"/>
      <c r="F48" s="63"/>
      <c r="I48" s="57"/>
      <c r="J48" s="63"/>
      <c r="K48" s="144"/>
      <c r="L48" s="145"/>
      <c r="M48" s="146"/>
      <c r="N48" s="146"/>
      <c r="O48" s="147"/>
      <c r="P48" s="147"/>
      <c r="Q48" s="147"/>
      <c r="R48" s="147"/>
      <c r="S48" s="147"/>
      <c r="T48" s="144"/>
      <c r="U48" s="148"/>
      <c r="V48" s="149"/>
      <c r="W48" s="150"/>
      <c r="X48" s="151"/>
      <c r="Y48" s="152"/>
      <c r="Z48" s="151"/>
      <c r="AA48" s="149"/>
      <c r="AB48" s="150"/>
      <c r="AC48" s="144"/>
      <c r="AD48" s="148"/>
      <c r="AE48" s="147"/>
      <c r="AF48" s="147"/>
      <c r="AG48" s="147"/>
      <c r="AH48" s="147"/>
      <c r="AI48" s="147"/>
      <c r="AJ48" s="147"/>
      <c r="AK48" s="147"/>
    </row>
    <row r="49" spans="1:30" s="29" customFormat="1" ht="15">
      <c r="A49" s="64"/>
      <c r="C49" s="63"/>
      <c r="F49" s="63"/>
      <c r="I49" s="57"/>
      <c r="K49" s="58"/>
      <c r="N49" s="59"/>
      <c r="O49" s="60"/>
      <c r="P49" s="60"/>
      <c r="Q49" s="60"/>
      <c r="R49" s="61"/>
      <c r="S49" s="60"/>
      <c r="T49" s="60"/>
      <c r="U49" s="148"/>
      <c r="V49" s="60"/>
      <c r="W49" s="62"/>
      <c r="Y49" s="134"/>
      <c r="AD49" s="148"/>
    </row>
    <row r="50" spans="1:37" s="63" customFormat="1" ht="15">
      <c r="A50" s="64"/>
      <c r="B50" s="29"/>
      <c r="D50" s="29"/>
      <c r="E50" s="29"/>
      <c r="G50" s="29"/>
      <c r="H50" s="29"/>
      <c r="I50" s="57"/>
      <c r="J50" s="29"/>
      <c r="K50" s="58"/>
      <c r="L50" s="29"/>
      <c r="M50" s="29"/>
      <c r="N50" s="59"/>
      <c r="O50" s="60"/>
      <c r="P50" s="60"/>
      <c r="Q50" s="60"/>
      <c r="R50" s="61"/>
      <c r="S50" s="60"/>
      <c r="T50" s="60"/>
      <c r="U50" s="148"/>
      <c r="V50" s="60"/>
      <c r="W50" s="62"/>
      <c r="X50" s="29"/>
      <c r="Y50" s="134"/>
      <c r="Z50" s="29"/>
      <c r="AA50" s="29"/>
      <c r="AD50" s="148"/>
      <c r="AE50" s="29"/>
      <c r="AF50" s="29"/>
      <c r="AG50" s="29"/>
      <c r="AH50" s="29"/>
      <c r="AI50" s="29"/>
      <c r="AJ50" s="29"/>
      <c r="AK50" s="29"/>
    </row>
    <row r="51" spans="1:37" s="29" customFormat="1" ht="15">
      <c r="A51" s="64"/>
      <c r="C51" s="63"/>
      <c r="F51" s="63"/>
      <c r="I51" s="57"/>
      <c r="J51" s="63"/>
      <c r="K51" s="144"/>
      <c r="L51" s="145"/>
      <c r="M51" s="146"/>
      <c r="N51" s="146"/>
      <c r="O51" s="147"/>
      <c r="P51" s="147"/>
      <c r="Q51" s="147"/>
      <c r="R51" s="147"/>
      <c r="S51" s="147"/>
      <c r="T51" s="144"/>
      <c r="U51" s="148"/>
      <c r="V51" s="149"/>
      <c r="W51" s="150"/>
      <c r="X51" s="151"/>
      <c r="Y51" s="152"/>
      <c r="Z51" s="151"/>
      <c r="AA51" s="149"/>
      <c r="AB51" s="150"/>
      <c r="AC51" s="144"/>
      <c r="AD51" s="148"/>
      <c r="AE51" s="147"/>
      <c r="AF51" s="147"/>
      <c r="AG51" s="147"/>
      <c r="AH51" s="147"/>
      <c r="AI51" s="147"/>
      <c r="AJ51" s="147"/>
      <c r="AK51" s="147"/>
    </row>
    <row r="52" spans="9:51" ht="15">
      <c r="I52" s="57"/>
      <c r="J52" s="29"/>
      <c r="K52" s="58"/>
      <c r="L52" s="29"/>
      <c r="M52" s="29"/>
      <c r="N52" s="59"/>
      <c r="O52" s="60"/>
      <c r="P52" s="60"/>
      <c r="Q52" s="60"/>
      <c r="R52" s="61"/>
      <c r="S52" s="60"/>
      <c r="T52" s="60"/>
      <c r="U52" s="148"/>
      <c r="V52" s="60"/>
      <c r="W52" s="62"/>
      <c r="X52" s="29"/>
      <c r="Y52" s="134"/>
      <c r="Z52" s="29"/>
      <c r="AA52" s="29"/>
      <c r="AB52" s="29"/>
      <c r="AC52" s="29"/>
      <c r="AD52" s="148"/>
      <c r="AE52" s="29"/>
      <c r="AF52" s="29"/>
      <c r="AG52" s="29"/>
      <c r="AH52" s="29"/>
      <c r="AI52" s="29"/>
      <c r="AJ52" s="29"/>
      <c r="AK52" s="29"/>
      <c r="AL52" s="29"/>
      <c r="AY52" s="7"/>
    </row>
    <row r="53" spans="9:51" ht="15.75" thickBot="1">
      <c r="I53" s="57"/>
      <c r="J53" s="63"/>
      <c r="K53" s="144"/>
      <c r="L53" s="145"/>
      <c r="M53" s="146"/>
      <c r="N53" s="146"/>
      <c r="O53" s="147"/>
      <c r="P53" s="147"/>
      <c r="Q53" s="147"/>
      <c r="R53" s="147"/>
      <c r="S53" s="147"/>
      <c r="T53" s="144"/>
      <c r="U53" s="148"/>
      <c r="V53" s="149"/>
      <c r="W53" s="150"/>
      <c r="X53" s="151"/>
      <c r="Y53" s="154"/>
      <c r="Z53" s="151"/>
      <c r="AA53" s="149"/>
      <c r="AB53" s="150"/>
      <c r="AC53" s="144"/>
      <c r="AD53" s="148"/>
      <c r="AE53" s="147"/>
      <c r="AF53" s="147"/>
      <c r="AG53" s="147"/>
      <c r="AH53" s="147"/>
      <c r="AI53" s="147"/>
      <c r="AJ53" s="147"/>
      <c r="AK53" s="147"/>
      <c r="AL53" s="29"/>
      <c r="AY53" s="7"/>
    </row>
    <row r="54" spans="9:51" ht="15">
      <c r="I54" s="57"/>
      <c r="J54" s="29"/>
      <c r="K54" s="58"/>
      <c r="L54" s="29"/>
      <c r="M54" s="29"/>
      <c r="N54" s="29"/>
      <c r="O54" s="60"/>
      <c r="P54" s="60"/>
      <c r="Q54" s="60"/>
      <c r="R54" s="61"/>
      <c r="S54" s="60"/>
      <c r="T54" s="60"/>
      <c r="U54" s="60"/>
      <c r="V54" s="60"/>
      <c r="W54" s="62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Y54" s="7"/>
    </row>
    <row r="55" spans="9:51" ht="15">
      <c r="I55" s="57"/>
      <c r="J55" s="29"/>
      <c r="K55" s="58"/>
      <c r="L55" s="29"/>
      <c r="M55" s="29"/>
      <c r="N55" s="29"/>
      <c r="O55" s="60"/>
      <c r="P55" s="60"/>
      <c r="Q55" s="60"/>
      <c r="R55" s="61"/>
      <c r="S55" s="60"/>
      <c r="T55" s="60"/>
      <c r="U55" s="60"/>
      <c r="V55" s="60"/>
      <c r="W55" s="62"/>
      <c r="X55" s="29"/>
      <c r="Y55" s="29"/>
      <c r="Z55" s="29"/>
      <c r="AA55" s="29"/>
      <c r="AB55" s="63"/>
      <c r="AC55" s="63"/>
      <c r="AD55" s="63"/>
      <c r="AE55" s="29"/>
      <c r="AF55" s="29"/>
      <c r="AG55" s="29"/>
      <c r="AH55" s="29"/>
      <c r="AI55" s="29"/>
      <c r="AJ55" s="29"/>
      <c r="AK55" s="29"/>
      <c r="AL55" s="29"/>
      <c r="AY55" s="7"/>
    </row>
    <row r="56" spans="9:51" ht="15">
      <c r="I56" s="57"/>
      <c r="J56" s="29"/>
      <c r="K56" s="58"/>
      <c r="L56" s="29"/>
      <c r="M56" s="29"/>
      <c r="N56" s="29"/>
      <c r="O56" s="60"/>
      <c r="P56" s="60"/>
      <c r="Q56" s="60"/>
      <c r="R56" s="61"/>
      <c r="S56" s="60"/>
      <c r="T56" s="60"/>
      <c r="U56" s="60"/>
      <c r="V56" s="60"/>
      <c r="W56" s="62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Y56" s="7"/>
    </row>
    <row r="57" spans="9:51" ht="15">
      <c r="I57" s="57"/>
      <c r="J57" s="29"/>
      <c r="K57" s="58"/>
      <c r="L57" s="29"/>
      <c r="M57" s="29"/>
      <c r="N57" s="29"/>
      <c r="O57" s="60"/>
      <c r="P57" s="60"/>
      <c r="Q57" s="60"/>
      <c r="R57" s="61"/>
      <c r="S57" s="60"/>
      <c r="T57" s="60"/>
      <c r="U57" s="60"/>
      <c r="V57" s="60"/>
      <c r="W57" s="62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Y57" s="7"/>
    </row>
    <row r="58" spans="9:51" ht="15">
      <c r="I58" s="57"/>
      <c r="J58" s="29"/>
      <c r="K58" s="58"/>
      <c r="L58" s="29"/>
      <c r="M58" s="29"/>
      <c r="N58" s="29"/>
      <c r="O58" s="60"/>
      <c r="P58" s="60"/>
      <c r="Q58" s="60"/>
      <c r="R58" s="61"/>
      <c r="S58" s="60"/>
      <c r="T58" s="60"/>
      <c r="U58" s="60"/>
      <c r="V58" s="60"/>
      <c r="W58" s="62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Y58" s="7"/>
    </row>
    <row r="59" spans="2:38" s="9" customFormat="1" ht="15">
      <c r="B59" s="65"/>
      <c r="C59" s="65"/>
      <c r="I59" s="157"/>
      <c r="J59" s="63"/>
      <c r="K59" s="58"/>
      <c r="L59" s="63"/>
      <c r="M59" s="63"/>
      <c r="N59" s="63"/>
      <c r="O59" s="60"/>
      <c r="P59" s="60"/>
      <c r="Q59" s="60"/>
      <c r="R59" s="61"/>
      <c r="S59" s="60"/>
      <c r="T59" s="60"/>
      <c r="U59" s="60"/>
      <c r="V59" s="60"/>
      <c r="W59" s="62"/>
      <c r="X59" s="63"/>
      <c r="Y59" s="63"/>
      <c r="Z59" s="63"/>
      <c r="AA59" s="63"/>
      <c r="AB59" s="29"/>
      <c r="AC59" s="29"/>
      <c r="AD59" s="29"/>
      <c r="AE59" s="63"/>
      <c r="AF59" s="63"/>
      <c r="AG59" s="63"/>
      <c r="AH59" s="63"/>
      <c r="AI59" s="63"/>
      <c r="AJ59" s="63"/>
      <c r="AK59" s="63"/>
      <c r="AL59" s="63"/>
    </row>
    <row r="60" spans="9:51" ht="15">
      <c r="I60" s="57"/>
      <c r="J60" s="29"/>
      <c r="K60" s="58"/>
      <c r="L60" s="29"/>
      <c r="M60" s="29"/>
      <c r="N60" s="29"/>
      <c r="O60" s="60"/>
      <c r="P60" s="60"/>
      <c r="Q60" s="60"/>
      <c r="R60" s="61"/>
      <c r="S60" s="60"/>
      <c r="T60" s="60"/>
      <c r="U60" s="60"/>
      <c r="V60" s="60"/>
      <c r="W60" s="62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Y60" s="7"/>
    </row>
    <row r="61" spans="9:51" ht="15">
      <c r="I61" s="57"/>
      <c r="J61" s="29"/>
      <c r="K61" s="29"/>
      <c r="L61" s="29"/>
      <c r="M61" s="29"/>
      <c r="N61" s="29"/>
      <c r="O61" s="29"/>
      <c r="P61" s="29"/>
      <c r="Q61" s="29"/>
      <c r="R61" s="158"/>
      <c r="S61" s="29"/>
      <c r="T61" s="29"/>
      <c r="U61" s="29"/>
      <c r="V61" s="29"/>
      <c r="W61" s="15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Y61" s="7"/>
    </row>
    <row r="62" spans="9:51" ht="15">
      <c r="I62" s="57"/>
      <c r="J62" s="29"/>
      <c r="K62" s="29"/>
      <c r="L62" s="29"/>
      <c r="M62" s="29"/>
      <c r="N62" s="29"/>
      <c r="O62" s="29"/>
      <c r="P62" s="29"/>
      <c r="Q62" s="29"/>
      <c r="R62" s="158"/>
      <c r="S62" s="29"/>
      <c r="T62" s="29"/>
      <c r="U62" s="29"/>
      <c r="V62" s="29"/>
      <c r="W62" s="15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Y62" s="7"/>
    </row>
    <row r="63" spans="9:51" ht="15">
      <c r="I63" s="57"/>
      <c r="J63" s="29"/>
      <c r="K63" s="29"/>
      <c r="L63" s="29"/>
      <c r="M63" s="29"/>
      <c r="N63" s="29"/>
      <c r="O63" s="29"/>
      <c r="P63" s="29"/>
      <c r="Q63" s="29"/>
      <c r="R63" s="158"/>
      <c r="S63" s="29"/>
      <c r="T63" s="29"/>
      <c r="U63" s="29"/>
      <c r="V63" s="29"/>
      <c r="W63" s="15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Y63" s="7"/>
    </row>
    <row r="64" spans="9:51" ht="15">
      <c r="I64" s="57"/>
      <c r="J64" s="29"/>
      <c r="K64" s="29"/>
      <c r="L64" s="29"/>
      <c r="M64" s="29"/>
      <c r="N64" s="29"/>
      <c r="O64" s="29"/>
      <c r="P64" s="29"/>
      <c r="Q64" s="29"/>
      <c r="R64" s="158"/>
      <c r="S64" s="29"/>
      <c r="T64" s="29"/>
      <c r="U64" s="29"/>
      <c r="V64" s="29"/>
      <c r="W64" s="15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Y64" s="7"/>
    </row>
    <row r="65" spans="9:51" ht="15">
      <c r="I65" s="57"/>
      <c r="J65" s="29"/>
      <c r="K65" s="29"/>
      <c r="L65" s="29"/>
      <c r="M65" s="29"/>
      <c r="N65" s="29"/>
      <c r="O65" s="29"/>
      <c r="P65" s="29"/>
      <c r="Q65" s="29"/>
      <c r="R65" s="158"/>
      <c r="S65" s="29"/>
      <c r="T65" s="29"/>
      <c r="U65" s="29"/>
      <c r="V65" s="29"/>
      <c r="W65" s="15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Y65" s="7"/>
    </row>
    <row r="66" spans="9:51" ht="15">
      <c r="I66" s="57"/>
      <c r="J66" s="29"/>
      <c r="K66" s="29"/>
      <c r="L66" s="29"/>
      <c r="M66" s="29"/>
      <c r="N66" s="29"/>
      <c r="O66" s="29"/>
      <c r="P66" s="29"/>
      <c r="Q66" s="29"/>
      <c r="R66" s="158"/>
      <c r="S66" s="29"/>
      <c r="T66" s="29"/>
      <c r="U66" s="29"/>
      <c r="V66" s="29"/>
      <c r="W66" s="15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Y66" s="7"/>
    </row>
    <row r="67" spans="13:51" ht="15">
      <c r="M67" s="7"/>
      <c r="N67" s="7"/>
      <c r="AE67" s="7"/>
      <c r="AF67" s="7"/>
      <c r="AG67" s="7"/>
      <c r="AH67" s="7"/>
      <c r="AY67" s="7"/>
    </row>
    <row r="68" spans="13:51" ht="15">
      <c r="M68" s="7"/>
      <c r="N68" s="7"/>
      <c r="AE68" s="7"/>
      <c r="AF68" s="7"/>
      <c r="AG68" s="7"/>
      <c r="AH68" s="7"/>
      <c r="AY68" s="7"/>
    </row>
    <row r="69" spans="13:51" ht="15">
      <c r="M69" s="7"/>
      <c r="N69" s="7"/>
      <c r="AE69" s="7"/>
      <c r="AF69" s="7"/>
      <c r="AG69" s="7"/>
      <c r="AH69" s="7"/>
      <c r="AY69" s="7"/>
    </row>
    <row r="70" spans="13:51" ht="15">
      <c r="M70" s="7"/>
      <c r="N70" s="7"/>
      <c r="AE70" s="7"/>
      <c r="AF70" s="7"/>
      <c r="AG70" s="7"/>
      <c r="AH70" s="7"/>
      <c r="AY70" s="7"/>
    </row>
    <row r="71" spans="13:51" ht="15">
      <c r="M71" s="7"/>
      <c r="N71" s="7"/>
      <c r="AE71" s="7"/>
      <c r="AF71" s="7"/>
      <c r="AG71" s="7"/>
      <c r="AH71" s="7"/>
      <c r="AY71" s="7"/>
    </row>
    <row r="72" spans="13:51" ht="15">
      <c r="M72" s="7"/>
      <c r="N72" s="7"/>
      <c r="AE72" s="7"/>
      <c r="AF72" s="7"/>
      <c r="AG72" s="7"/>
      <c r="AH72" s="7"/>
      <c r="AY72" s="7"/>
    </row>
    <row r="73" spans="13:51" ht="15">
      <c r="M73" s="7"/>
      <c r="N73" s="7"/>
      <c r="AE73" s="7"/>
      <c r="AF73" s="7"/>
      <c r="AG73" s="7"/>
      <c r="AH73" s="7"/>
      <c r="AY73" s="7"/>
    </row>
    <row r="74" spans="13:51" ht="15">
      <c r="M74" s="7"/>
      <c r="N74" s="7"/>
      <c r="AE74" s="7"/>
      <c r="AF74" s="7"/>
      <c r="AG74" s="7"/>
      <c r="AH74" s="7"/>
      <c r="AY74" s="7"/>
    </row>
    <row r="75" spans="13:51" ht="15">
      <c r="M75" s="7"/>
      <c r="N75" s="7"/>
      <c r="AE75" s="7"/>
      <c r="AF75" s="7"/>
      <c r="AG75" s="7"/>
      <c r="AH75" s="7"/>
      <c r="AY75" s="7"/>
    </row>
    <row r="76" spans="13:51" ht="15">
      <c r="M76" s="7"/>
      <c r="N76" s="7"/>
      <c r="AE76" s="7"/>
      <c r="AF76" s="7"/>
      <c r="AG76" s="7"/>
      <c r="AH76" s="7"/>
      <c r="AY76" s="7"/>
    </row>
    <row r="77" spans="13:51" ht="15">
      <c r="M77" s="7"/>
      <c r="N77" s="7"/>
      <c r="AE77" s="7"/>
      <c r="AF77" s="7"/>
      <c r="AG77" s="7"/>
      <c r="AH77" s="7"/>
      <c r="AY77" s="7"/>
    </row>
    <row r="78" spans="13:51" ht="15">
      <c r="M78" s="7"/>
      <c r="N78" s="7"/>
      <c r="AE78" s="7"/>
      <c r="AF78" s="7"/>
      <c r="AG78" s="7"/>
      <c r="AH78" s="7"/>
      <c r="AY78" s="7"/>
    </row>
    <row r="79" spans="13:51" ht="15">
      <c r="M79" s="7"/>
      <c r="N79" s="7"/>
      <c r="AE79" s="7"/>
      <c r="AF79" s="7"/>
      <c r="AG79" s="7"/>
      <c r="AH79" s="7"/>
      <c r="AY79" s="7"/>
    </row>
  </sheetData>
  <mergeCells count="16">
    <mergeCell ref="A1:I1"/>
    <mergeCell ref="A2:I2"/>
    <mergeCell ref="A3:I3"/>
    <mergeCell ref="H6:I6"/>
    <mergeCell ref="H8:I8"/>
    <mergeCell ref="AT10:AW10"/>
    <mergeCell ref="V8:AC8"/>
    <mergeCell ref="AE8:AH8"/>
    <mergeCell ref="AJ8:AJ9"/>
    <mergeCell ref="A9:N9"/>
    <mergeCell ref="O9:S9"/>
    <mergeCell ref="V9:W9"/>
    <mergeCell ref="AA9:AC9"/>
    <mergeCell ref="AE9:AG9"/>
    <mergeCell ref="AH9:AI9"/>
    <mergeCell ref="O8:T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Y79"/>
  <sheetViews>
    <sheetView workbookViewId="0" topLeftCell="A1">
      <selection activeCell="N23" sqref="N23"/>
    </sheetView>
  </sheetViews>
  <sheetFormatPr defaultColWidth="9.140625" defaultRowHeight="15"/>
  <cols>
    <col min="1" max="1" width="13.140625" style="7" customWidth="1"/>
    <col min="2" max="2" width="9.28125" style="49" customWidth="1"/>
    <col min="3" max="3" width="11.28125" style="49" customWidth="1"/>
    <col min="4" max="4" width="34.7109375" style="7" customWidth="1"/>
    <col min="5" max="5" width="17.00390625" style="7" bestFit="1" customWidth="1"/>
    <col min="6" max="7" width="9.140625" style="7" customWidth="1"/>
    <col min="8" max="8" width="34.28125" style="7" bestFit="1" customWidth="1"/>
    <col min="9" max="9" width="9.140625" style="49" customWidth="1"/>
    <col min="10" max="10" width="11.28125" style="7" customWidth="1"/>
    <col min="11" max="11" width="12.57421875" style="7" bestFit="1" customWidth="1"/>
    <col min="12" max="12" width="12.57421875" style="7" customWidth="1"/>
    <col min="13" max="13" width="10.28125" style="6" customWidth="1"/>
    <col min="14" max="14" width="11.57421875" style="6" bestFit="1" customWidth="1"/>
    <col min="15" max="16" width="11.57421875" style="7" bestFit="1" customWidth="1"/>
    <col min="17" max="17" width="15.00390625" style="7" customWidth="1"/>
    <col min="18" max="18" width="12.421875" style="36" bestFit="1" customWidth="1"/>
    <col min="19" max="19" width="14.8515625" style="7" bestFit="1" customWidth="1"/>
    <col min="20" max="20" width="15.00390625" style="7" customWidth="1"/>
    <col min="21" max="21" width="4.421875" style="7" customWidth="1"/>
    <col min="22" max="22" width="11.57421875" style="7" bestFit="1" customWidth="1"/>
    <col min="23" max="23" width="11.28125" style="50" bestFit="1" customWidth="1"/>
    <col min="24" max="24" width="15.00390625" style="7" bestFit="1" customWidth="1"/>
    <col min="25" max="26" width="11.57421875" style="7" bestFit="1" customWidth="1"/>
    <col min="27" max="27" width="10.57421875" style="7" bestFit="1" customWidth="1"/>
    <col min="28" max="28" width="8.8515625" style="7" bestFit="1" customWidth="1"/>
    <col min="29" max="29" width="11.57421875" style="7" bestFit="1" customWidth="1"/>
    <col min="30" max="30" width="4.421875" style="7" customWidth="1"/>
    <col min="31" max="31" width="11.57421875" style="66" bestFit="1" customWidth="1"/>
    <col min="32" max="32" width="11.57421875" style="36" bestFit="1" customWidth="1"/>
    <col min="33" max="33" width="11.57421875" style="66" bestFit="1" customWidth="1"/>
    <col min="34" max="34" width="11.8515625" style="66" customWidth="1"/>
    <col min="35" max="35" width="15.28125" style="7" bestFit="1" customWidth="1"/>
    <col min="36" max="36" width="11.8515625" style="7" customWidth="1"/>
    <col min="37" max="37" width="16.57421875" style="7" bestFit="1" customWidth="1"/>
    <col min="38" max="46" width="11.8515625" style="7" customWidth="1"/>
    <col min="47" max="50" width="9.140625" style="7" customWidth="1"/>
    <col min="51" max="51" width="9.140625" style="37" customWidth="1"/>
    <col min="52" max="16384" width="9.140625" style="7" customWidth="1"/>
  </cols>
  <sheetData>
    <row r="1" spans="1:50" ht="15.75">
      <c r="A1" s="217" t="s">
        <v>52</v>
      </c>
      <c r="B1" s="217"/>
      <c r="C1" s="217"/>
      <c r="D1" s="217"/>
      <c r="E1" s="217"/>
      <c r="F1" s="217"/>
      <c r="G1" s="217"/>
      <c r="H1" s="217"/>
      <c r="I1" s="217"/>
      <c r="Z1" s="1"/>
      <c r="AA1" s="1"/>
      <c r="AE1" s="3"/>
      <c r="AF1" s="2"/>
      <c r="AG1" s="3"/>
      <c r="AH1" s="3"/>
      <c r="AJ1" s="1"/>
      <c r="AK1" s="1"/>
      <c r="AL1" s="1"/>
      <c r="AM1" s="1"/>
      <c r="AN1" s="1"/>
      <c r="AO1" s="1"/>
      <c r="AP1" s="1"/>
      <c r="AQ1" s="1"/>
      <c r="AR1" s="4"/>
      <c r="AS1" s="4"/>
      <c r="AT1" s="4"/>
      <c r="AV1" s="36"/>
      <c r="AW1" s="36"/>
      <c r="AX1" s="36"/>
    </row>
    <row r="2" spans="1:50" ht="15.75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Z2" s="1"/>
      <c r="AA2" s="1"/>
      <c r="AE2" s="3"/>
      <c r="AF2" s="2"/>
      <c r="AG2" s="3"/>
      <c r="AH2" s="3"/>
      <c r="AJ2" s="1"/>
      <c r="AK2" s="1"/>
      <c r="AL2" s="1"/>
      <c r="AM2" s="1"/>
      <c r="AN2" s="1"/>
      <c r="AO2" s="1"/>
      <c r="AP2" s="1"/>
      <c r="AQ2" s="1"/>
      <c r="AR2" s="4"/>
      <c r="AS2" s="4"/>
      <c r="AT2" s="4"/>
      <c r="AV2" s="36"/>
      <c r="AW2" s="36"/>
      <c r="AX2" s="36"/>
    </row>
    <row r="3" spans="1:50" ht="18.75">
      <c r="A3" s="225"/>
      <c r="B3" s="225"/>
      <c r="C3" s="225"/>
      <c r="D3" s="225"/>
      <c r="E3" s="225"/>
      <c r="F3" s="225"/>
      <c r="G3" s="225"/>
      <c r="H3" s="225"/>
      <c r="I3" s="225"/>
      <c r="Z3" s="1"/>
      <c r="AA3" s="1"/>
      <c r="AE3" s="3"/>
      <c r="AF3" s="2"/>
      <c r="AG3" s="3"/>
      <c r="AH3" s="3"/>
      <c r="AJ3" s="1"/>
      <c r="AK3" s="1"/>
      <c r="AL3" s="1"/>
      <c r="AM3" s="1"/>
      <c r="AN3" s="1"/>
      <c r="AO3" s="1"/>
      <c r="AP3" s="1"/>
      <c r="AQ3" s="1"/>
      <c r="AR3" s="40"/>
      <c r="AS3" s="40"/>
      <c r="AT3" s="40"/>
      <c r="AV3" s="36"/>
      <c r="AW3" s="36"/>
      <c r="AX3" s="36"/>
    </row>
    <row r="4" spans="1:50" ht="15.75">
      <c r="A4" s="181"/>
      <c r="B4" s="181"/>
      <c r="C4" s="181"/>
      <c r="D4" s="181"/>
      <c r="E4" s="181"/>
      <c r="F4" s="181"/>
      <c r="G4" s="181"/>
      <c r="H4" s="181"/>
      <c r="I4" s="181"/>
      <c r="Z4" s="1"/>
      <c r="AA4" s="1"/>
      <c r="AE4" s="3"/>
      <c r="AF4" s="2"/>
      <c r="AG4" s="3"/>
      <c r="AH4" s="3"/>
      <c r="AJ4" s="1"/>
      <c r="AK4" s="1"/>
      <c r="AL4" s="1"/>
      <c r="AM4" s="1"/>
      <c r="AN4" s="1"/>
      <c r="AO4" s="1"/>
      <c r="AP4" s="1"/>
      <c r="AQ4" s="1"/>
      <c r="AR4" s="40"/>
      <c r="AS4" s="40"/>
      <c r="AT4" s="40"/>
      <c r="AV4" s="36"/>
      <c r="AW4" s="36"/>
      <c r="AX4" s="36"/>
    </row>
    <row r="5" spans="1:50" ht="15.75">
      <c r="A5" s="30"/>
      <c r="B5" s="46"/>
      <c r="C5" s="46"/>
      <c r="D5" s="1"/>
      <c r="E5" s="1"/>
      <c r="F5" s="1"/>
      <c r="G5" s="1"/>
      <c r="H5" s="1"/>
      <c r="I5" s="46"/>
      <c r="J5" s="1"/>
      <c r="K5" s="4"/>
      <c r="L5" s="4"/>
      <c r="M5" s="10"/>
      <c r="N5" s="10"/>
      <c r="O5" s="4"/>
      <c r="P5" s="1"/>
      <c r="Q5" s="1"/>
      <c r="R5" s="2"/>
      <c r="S5" s="1"/>
      <c r="T5" s="1"/>
      <c r="U5" s="1"/>
      <c r="V5" s="1"/>
      <c r="W5" s="33"/>
      <c r="X5" s="1"/>
      <c r="Y5" s="1"/>
      <c r="Z5" s="1"/>
      <c r="AE5" s="7"/>
      <c r="AF5" s="7"/>
      <c r="AG5" s="7"/>
      <c r="AH5" s="7"/>
      <c r="AV5" s="36"/>
      <c r="AW5" s="36"/>
      <c r="AX5" s="36"/>
    </row>
    <row r="6" spans="8:51" ht="15.75" customHeight="1">
      <c r="H6" s="245"/>
      <c r="I6" s="245"/>
      <c r="J6" s="192"/>
      <c r="K6" s="4"/>
      <c r="L6" s="10"/>
      <c r="M6" s="10"/>
      <c r="N6" s="4"/>
      <c r="O6" s="1"/>
      <c r="P6" s="1"/>
      <c r="Q6" s="2"/>
      <c r="R6" s="1"/>
      <c r="S6" s="1"/>
      <c r="T6" s="1"/>
      <c r="U6" s="1"/>
      <c r="V6" s="33"/>
      <c r="W6" s="1"/>
      <c r="X6" s="1"/>
      <c r="Y6" s="1"/>
      <c r="AA6"/>
      <c r="AB6"/>
      <c r="AC6"/>
      <c r="AE6" s="7"/>
      <c r="AF6" s="7"/>
      <c r="AG6" s="7"/>
      <c r="AH6" s="7"/>
      <c r="AU6" s="36"/>
      <c r="AV6" s="36"/>
      <c r="AW6" s="36"/>
      <c r="AX6" s="37"/>
      <c r="AY6" s="7"/>
    </row>
    <row r="7" spans="10:50" ht="16.5" thickBot="1">
      <c r="J7" s="1"/>
      <c r="K7"/>
      <c r="L7" s="4"/>
      <c r="M7" s="10"/>
      <c r="N7" s="10"/>
      <c r="O7" s="4"/>
      <c r="P7" s="1"/>
      <c r="Q7" s="1"/>
      <c r="R7" s="2"/>
      <c r="S7" s="1"/>
      <c r="T7" s="1"/>
      <c r="U7" s="1"/>
      <c r="V7" s="1"/>
      <c r="W7" s="33"/>
      <c r="X7" s="1"/>
      <c r="Y7" s="1"/>
      <c r="Z7" s="1"/>
      <c r="AB7"/>
      <c r="AC7"/>
      <c r="AD7"/>
      <c r="AE7" s="7"/>
      <c r="AF7" s="7"/>
      <c r="AG7" s="7"/>
      <c r="AH7" s="7"/>
      <c r="AV7" s="36"/>
      <c r="AW7" s="36"/>
      <c r="AX7" s="36"/>
    </row>
    <row r="8" spans="8:50" ht="15" customHeight="1" thickBot="1">
      <c r="H8" s="235" t="s">
        <v>79</v>
      </c>
      <c r="I8" s="236"/>
      <c r="J8" s="85">
        <v>20</v>
      </c>
      <c r="K8"/>
      <c r="O8" s="231"/>
      <c r="P8" s="231"/>
      <c r="Q8" s="231"/>
      <c r="R8" s="231"/>
      <c r="S8" s="231"/>
      <c r="T8" s="231"/>
      <c r="U8"/>
      <c r="V8" s="230"/>
      <c r="W8" s="230"/>
      <c r="X8" s="230"/>
      <c r="Y8" s="230"/>
      <c r="Z8" s="230"/>
      <c r="AA8" s="230"/>
      <c r="AB8" s="230"/>
      <c r="AC8" s="230"/>
      <c r="AD8"/>
      <c r="AE8" s="241" t="s">
        <v>2</v>
      </c>
      <c r="AF8" s="241"/>
      <c r="AG8" s="241"/>
      <c r="AH8" s="241"/>
      <c r="AI8" s="13" t="s">
        <v>3</v>
      </c>
      <c r="AJ8" s="220"/>
      <c r="AK8" s="14" t="s">
        <v>4</v>
      </c>
      <c r="AV8" s="36"/>
      <c r="AW8" s="36"/>
      <c r="AX8" s="36"/>
    </row>
    <row r="9" spans="1:51" s="68" customFormat="1" ht="33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9"/>
      <c r="O9" s="232" t="s">
        <v>5</v>
      </c>
      <c r="P9" s="233"/>
      <c r="Q9" s="233"/>
      <c r="R9" s="233"/>
      <c r="S9" s="234"/>
      <c r="T9" s="69"/>
      <c r="U9" s="110"/>
      <c r="V9" s="226"/>
      <c r="W9" s="227"/>
      <c r="X9" s="126">
        <v>0.2</v>
      </c>
      <c r="Y9" s="130">
        <v>0.5</v>
      </c>
      <c r="Z9" s="128">
        <v>0.3</v>
      </c>
      <c r="AA9" s="222"/>
      <c r="AB9" s="223"/>
      <c r="AC9" s="223"/>
      <c r="AD9" s="110"/>
      <c r="AE9" s="242" t="s">
        <v>6</v>
      </c>
      <c r="AF9" s="243"/>
      <c r="AG9" s="244"/>
      <c r="AH9" s="242" t="s">
        <v>7</v>
      </c>
      <c r="AI9" s="244"/>
      <c r="AJ9" s="221"/>
      <c r="AK9" s="70" t="s">
        <v>8</v>
      </c>
      <c r="AV9" s="71"/>
      <c r="AW9" s="71"/>
      <c r="AX9" s="71"/>
      <c r="AY9" s="72"/>
    </row>
    <row r="10" spans="1:49" s="6" customFormat="1" ht="50.1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6" t="s">
        <v>191</v>
      </c>
      <c r="F10" s="16" t="s">
        <v>13</v>
      </c>
      <c r="G10" s="74" t="s">
        <v>14</v>
      </c>
      <c r="H10" s="74" t="s">
        <v>15</v>
      </c>
      <c r="I10" s="89" t="s">
        <v>16</v>
      </c>
      <c r="J10" s="16" t="s">
        <v>1</v>
      </c>
      <c r="K10" s="74" t="s">
        <v>67</v>
      </c>
      <c r="L10" s="74" t="s">
        <v>184</v>
      </c>
      <c r="M10" s="51" t="s">
        <v>69</v>
      </c>
      <c r="N10" s="51" t="s">
        <v>190</v>
      </c>
      <c r="O10" s="73" t="s">
        <v>18</v>
      </c>
      <c r="P10" s="73" t="s">
        <v>19</v>
      </c>
      <c r="Q10" s="73" t="s">
        <v>20</v>
      </c>
      <c r="R10" s="18" t="s">
        <v>21</v>
      </c>
      <c r="S10" s="18" t="s">
        <v>22</v>
      </c>
      <c r="T10" s="19" t="s">
        <v>23</v>
      </c>
      <c r="U10" s="110"/>
      <c r="V10" s="20" t="s">
        <v>24</v>
      </c>
      <c r="W10" s="21" t="s">
        <v>25</v>
      </c>
      <c r="X10" s="127" t="s">
        <v>26</v>
      </c>
      <c r="Y10" s="131" t="s">
        <v>27</v>
      </c>
      <c r="Z10" s="129" t="s">
        <v>4</v>
      </c>
      <c r="AA10" s="20" t="s">
        <v>28</v>
      </c>
      <c r="AB10" s="22" t="s">
        <v>29</v>
      </c>
      <c r="AC10" s="23" t="s">
        <v>30</v>
      </c>
      <c r="AD10" s="110"/>
      <c r="AE10" s="17" t="s">
        <v>18</v>
      </c>
      <c r="AF10" s="17" t="s">
        <v>19</v>
      </c>
      <c r="AG10" s="17" t="s">
        <v>20</v>
      </c>
      <c r="AH10" s="17" t="s">
        <v>21</v>
      </c>
      <c r="AI10" s="17" t="s">
        <v>31</v>
      </c>
      <c r="AJ10" s="17" t="s">
        <v>22</v>
      </c>
      <c r="AK10" s="17" t="s">
        <v>32</v>
      </c>
      <c r="AT10" s="240"/>
      <c r="AU10" s="240"/>
      <c r="AV10" s="240"/>
      <c r="AW10" s="240"/>
    </row>
    <row r="11" spans="1:49" s="9" customFormat="1" ht="15" customHeight="1">
      <c r="A11" s="52"/>
      <c r="B11" s="67"/>
      <c r="C11" s="53"/>
      <c r="D11" s="52"/>
      <c r="E11" s="52"/>
      <c r="F11" s="52"/>
      <c r="G11" s="87"/>
      <c r="H11" s="191"/>
      <c r="I11" s="88"/>
      <c r="J11" s="52">
        <f>SUM(J12:J17)</f>
        <v>120</v>
      </c>
      <c r="K11" s="94">
        <f>SUM(K12:K17)</f>
        <v>88603.2</v>
      </c>
      <c r="L11" s="55"/>
      <c r="M11" s="54"/>
      <c r="N11" s="54"/>
      <c r="O11" s="93">
        <f aca="true" t="shared" si="0" ref="O11:T11">SUM(O12:O17)</f>
        <v>31750</v>
      </c>
      <c r="P11" s="93">
        <f t="shared" si="0"/>
        <v>9836.150000000001</v>
      </c>
      <c r="Q11" s="93">
        <f t="shared" si="0"/>
        <v>41586.15</v>
      </c>
      <c r="R11" s="93">
        <f t="shared" si="0"/>
        <v>0</v>
      </c>
      <c r="S11" s="93">
        <f t="shared" si="0"/>
        <v>41586.15</v>
      </c>
      <c r="T11" s="94">
        <f t="shared" si="0"/>
        <v>47017.05</v>
      </c>
      <c r="U11"/>
      <c r="V11" s="24">
        <f>SUM(V12:V17)</f>
        <v>120</v>
      </c>
      <c r="W11" s="25">
        <f aca="true" t="shared" si="1" ref="W11:W28">V11/J11</f>
        <v>1</v>
      </c>
      <c r="X11" s="97">
        <f>SUM(X12:X17)</f>
        <v>9403.410000000002</v>
      </c>
      <c r="Y11" s="132">
        <f>SUM(Y12:Y17)</f>
        <v>23508.525</v>
      </c>
      <c r="Z11" s="97">
        <f>SUM(Z12:Z17)</f>
        <v>14105.115000000002</v>
      </c>
      <c r="AA11" s="24">
        <f>SUM(AA12:AA17)</f>
        <v>0</v>
      </c>
      <c r="AB11" s="25">
        <f aca="true" t="shared" si="2" ref="AB11:AB28">AA11/J11</f>
        <v>0</v>
      </c>
      <c r="AC11" s="94">
        <f>SUM(AC12:AC17)</f>
        <v>0</v>
      </c>
      <c r="AD11"/>
      <c r="AE11" s="93">
        <f>SUM(AE12:AE17)</f>
        <v>31750</v>
      </c>
      <c r="AF11" s="93">
        <f>SUM(AF12:AF17)</f>
        <v>9836.150000000001</v>
      </c>
      <c r="AG11" s="93">
        <f>SUM(AG12:AG17)</f>
        <v>41586.15</v>
      </c>
      <c r="AH11" s="93">
        <f aca="true" t="shared" si="3" ref="AH11:AI11">SUM(AH12:AH17)</f>
        <v>0</v>
      </c>
      <c r="AI11" s="93">
        <f t="shared" si="3"/>
        <v>0</v>
      </c>
      <c r="AJ11" s="93">
        <f>SUM(AJ12:AJ17)</f>
        <v>41586.15</v>
      </c>
      <c r="AK11" s="93">
        <f>SUM(AK12:AK17)</f>
        <v>0</v>
      </c>
      <c r="AL11" s="7"/>
      <c r="AM11" s="7"/>
      <c r="AN11" s="7"/>
      <c r="AO11" s="7"/>
      <c r="AP11" s="7"/>
      <c r="AQ11" s="7"/>
      <c r="AR11" s="7"/>
      <c r="AW11" s="11"/>
    </row>
    <row r="12" spans="1:37" s="29" customFormat="1" ht="15">
      <c r="A12" s="26" t="s">
        <v>165</v>
      </c>
      <c r="B12" s="182">
        <v>2003</v>
      </c>
      <c r="C12" s="7" t="s">
        <v>34</v>
      </c>
      <c r="D12" s="187" t="s">
        <v>166</v>
      </c>
      <c r="E12" s="187" t="s">
        <v>111</v>
      </c>
      <c r="F12" s="7" t="s">
        <v>0</v>
      </c>
      <c r="G12" t="s">
        <v>36</v>
      </c>
      <c r="H12" t="s">
        <v>189</v>
      </c>
      <c r="I12" s="5">
        <v>3</v>
      </c>
      <c r="J12" s="29">
        <f aca="true" t="shared" si="4" ref="J12:J20">$J$8</f>
        <v>20</v>
      </c>
      <c r="K12" s="100">
        <f>Table!$H$7*I12*J12</f>
        <v>14767.2</v>
      </c>
      <c r="L12" t="s">
        <v>48</v>
      </c>
      <c r="M12" s="29">
        <v>1</v>
      </c>
      <c r="N12" s="101">
        <v>5000</v>
      </c>
      <c r="O12" s="95">
        <f>N12</f>
        <v>5000</v>
      </c>
      <c r="P12" s="95">
        <f>O12*Table!$H$1</f>
        <v>1549</v>
      </c>
      <c r="Q12" s="95">
        <f aca="true" t="shared" si="5" ref="Q12:Q17">O12+P12</f>
        <v>6549</v>
      </c>
      <c r="R12" s="95"/>
      <c r="S12" s="95">
        <f aca="true" t="shared" si="6" ref="S12:S17">Q12+R12</f>
        <v>6549</v>
      </c>
      <c r="T12" s="96">
        <f aca="true" t="shared" si="7" ref="T12:T28">K12-S12</f>
        <v>8218.2</v>
      </c>
      <c r="U12"/>
      <c r="V12" s="15">
        <f>J12</f>
        <v>20</v>
      </c>
      <c r="W12" s="27">
        <f t="shared" si="1"/>
        <v>1</v>
      </c>
      <c r="X12" s="98">
        <f aca="true" t="shared" si="8" ref="X12:X17">(W12*T12)*$X$9</f>
        <v>1643.6400000000003</v>
      </c>
      <c r="Y12" s="133">
        <f aca="true" t="shared" si="9" ref="Y12:Y17">(W12*T12)*$Y$9</f>
        <v>4109.1</v>
      </c>
      <c r="Z12" s="98">
        <f aca="true" t="shared" si="10" ref="Z12:Z17">(W12*T12)*$Z$9</f>
        <v>2465.46</v>
      </c>
      <c r="AA12" s="12">
        <f aca="true" t="shared" si="11" ref="AA12:AA28">J12-V12</f>
        <v>0</v>
      </c>
      <c r="AB12" s="27">
        <f t="shared" si="2"/>
        <v>0</v>
      </c>
      <c r="AC12" s="96">
        <f aca="true" t="shared" si="12" ref="AC12">T12*AB12</f>
        <v>0</v>
      </c>
      <c r="AD12"/>
      <c r="AE12" s="99">
        <f aca="true" t="shared" si="13" ref="AE12:AE28">IF(L12="TTIN","0.00",(IF(L12="CIN","0.00",(IF(L12="IN","0.00",O12)))))</f>
        <v>5000</v>
      </c>
      <c r="AF12" s="99">
        <f aca="true" t="shared" si="14" ref="AF12:AF28">IF(L12="TTIN","0.00",(IF(L12="CIN","0.00",(IF(L12="IN","0.00",P12)))))</f>
        <v>1549</v>
      </c>
      <c r="AG12" s="99">
        <f aca="true" t="shared" si="15" ref="AG12:AG28">IF(L12="TTIN","0.00",(IF(L12="CIN","0.00",(IF(L12="IN","0.00",Q12)))))</f>
        <v>6549</v>
      </c>
      <c r="AH12" s="95"/>
      <c r="AI12" s="95"/>
      <c r="AJ12" s="95">
        <f aca="true" t="shared" si="16" ref="AJ12:AJ17">AG12+AH12+AI12</f>
        <v>6549</v>
      </c>
      <c r="AK12" s="95">
        <f aca="true" t="shared" si="17" ref="AK12">S12-AJ12</f>
        <v>0</v>
      </c>
    </row>
    <row r="13" spans="1:37" s="29" customFormat="1" ht="15">
      <c r="A13" s="26" t="s">
        <v>167</v>
      </c>
      <c r="B13" s="182">
        <v>2013</v>
      </c>
      <c r="C13" s="7" t="s">
        <v>34</v>
      </c>
      <c r="D13" s="187" t="s">
        <v>168</v>
      </c>
      <c r="E13" s="187" t="s">
        <v>111</v>
      </c>
      <c r="F13" s="7" t="s">
        <v>0</v>
      </c>
      <c r="G13" t="s">
        <v>36</v>
      </c>
      <c r="H13" t="s">
        <v>189</v>
      </c>
      <c r="I13" s="5">
        <v>3</v>
      </c>
      <c r="J13" s="29">
        <f t="shared" si="4"/>
        <v>20</v>
      </c>
      <c r="K13" s="100">
        <f>Table!$H$7*I13*J13</f>
        <v>14767.2</v>
      </c>
      <c r="L13" t="s">
        <v>48</v>
      </c>
      <c r="M13" s="29">
        <v>1</v>
      </c>
      <c r="N13" s="101">
        <v>5000</v>
      </c>
      <c r="O13" s="95">
        <v>5000</v>
      </c>
      <c r="P13" s="95">
        <f>O13*Table!$H$1</f>
        <v>1549</v>
      </c>
      <c r="Q13" s="95">
        <f t="shared" si="5"/>
        <v>6549</v>
      </c>
      <c r="R13" s="95"/>
      <c r="S13" s="95">
        <f t="shared" si="6"/>
        <v>6549</v>
      </c>
      <c r="T13" s="96">
        <f t="shared" si="7"/>
        <v>8218.2</v>
      </c>
      <c r="U13"/>
      <c r="V13" s="15">
        <f aca="true" t="shared" si="18" ref="V13:V28">J13</f>
        <v>20</v>
      </c>
      <c r="W13" s="27">
        <f t="shared" si="1"/>
        <v>1</v>
      </c>
      <c r="X13" s="98">
        <f t="shared" si="8"/>
        <v>1643.6400000000003</v>
      </c>
      <c r="Y13" s="133">
        <f t="shared" si="9"/>
        <v>4109.1</v>
      </c>
      <c r="Z13" s="98">
        <f t="shared" si="10"/>
        <v>2465.46</v>
      </c>
      <c r="AA13" s="12">
        <f t="shared" si="11"/>
        <v>0</v>
      </c>
      <c r="AB13" s="27">
        <f t="shared" si="2"/>
        <v>0</v>
      </c>
      <c r="AC13" s="96">
        <f>T13*AB13</f>
        <v>0</v>
      </c>
      <c r="AD13"/>
      <c r="AE13" s="99">
        <f t="shared" si="13"/>
        <v>5000</v>
      </c>
      <c r="AF13" s="99">
        <f t="shared" si="14"/>
        <v>1549</v>
      </c>
      <c r="AG13" s="99">
        <f t="shared" si="15"/>
        <v>6549</v>
      </c>
      <c r="AH13" s="95"/>
      <c r="AI13" s="95"/>
      <c r="AJ13" s="95">
        <f t="shared" si="16"/>
        <v>6549</v>
      </c>
      <c r="AK13" s="95">
        <f>S13-AJ13</f>
        <v>0</v>
      </c>
    </row>
    <row r="14" spans="1:37" s="29" customFormat="1" ht="15">
      <c r="A14" s="26" t="s">
        <v>165</v>
      </c>
      <c r="B14" s="182">
        <v>2043</v>
      </c>
      <c r="C14" s="7" t="s">
        <v>34</v>
      </c>
      <c r="D14" s="187" t="s">
        <v>169</v>
      </c>
      <c r="E14" s="187" t="s">
        <v>111</v>
      </c>
      <c r="F14" s="7" t="s">
        <v>0</v>
      </c>
      <c r="G14" t="s">
        <v>36</v>
      </c>
      <c r="H14" t="s">
        <v>186</v>
      </c>
      <c r="I14" s="5">
        <v>3</v>
      </c>
      <c r="J14" s="29">
        <f t="shared" si="4"/>
        <v>20</v>
      </c>
      <c r="K14" s="100">
        <f>Table!$H$7*I14*J14</f>
        <v>14767.2</v>
      </c>
      <c r="L14" t="s">
        <v>47</v>
      </c>
      <c r="M14" s="29">
        <v>1</v>
      </c>
      <c r="N14" s="101">
        <v>50000</v>
      </c>
      <c r="O14" s="95">
        <f aca="true" t="shared" si="19" ref="O14:O28">IF(N14="A1","$4,000.00",(IF(N14="A2","$5,000.00",(IF(N14="A3","$5,000.00",(IF(L14="TTIN",I14*N14*0.025,IF(L14="TTIR",I14*N14*0.025,(IF(L14="O",I14*N14*0.025,(IF(L14="CIN",I14*N14*0.025,(IF(L14="CIR",I14*N14*0.025,(IF(L14="IR",I14*N14*0.025,(IF(L14="IN",I14*N14*0.025,(IF(L14="GA",I14*N14*0.025,(IF(L14="CISP",I14*N14*0.04))))))))))))))))))))))</f>
        <v>6000</v>
      </c>
      <c r="P14" s="95">
        <f>O14*Table!$H$1</f>
        <v>1858.8000000000002</v>
      </c>
      <c r="Q14" s="95">
        <f t="shared" si="5"/>
        <v>7858.8</v>
      </c>
      <c r="R14" s="95"/>
      <c r="S14" s="95">
        <f t="shared" si="6"/>
        <v>7858.8</v>
      </c>
      <c r="T14" s="96">
        <f t="shared" si="7"/>
        <v>6908.400000000001</v>
      </c>
      <c r="U14"/>
      <c r="V14" s="15">
        <f t="shared" si="18"/>
        <v>20</v>
      </c>
      <c r="W14" s="27">
        <f t="shared" si="1"/>
        <v>1</v>
      </c>
      <c r="X14" s="98">
        <f t="shared" si="8"/>
        <v>1381.6800000000003</v>
      </c>
      <c r="Y14" s="133">
        <f t="shared" si="9"/>
        <v>3454.2000000000003</v>
      </c>
      <c r="Z14" s="98">
        <f t="shared" si="10"/>
        <v>2072.52</v>
      </c>
      <c r="AA14" s="12">
        <f t="shared" si="11"/>
        <v>0</v>
      </c>
      <c r="AB14" s="27">
        <f t="shared" si="2"/>
        <v>0</v>
      </c>
      <c r="AC14" s="96">
        <f>T14*AB14</f>
        <v>0</v>
      </c>
      <c r="AD14"/>
      <c r="AE14" s="99">
        <f t="shared" si="13"/>
        <v>6000</v>
      </c>
      <c r="AF14" s="99">
        <f t="shared" si="14"/>
        <v>1858.8000000000002</v>
      </c>
      <c r="AG14" s="99">
        <f t="shared" si="15"/>
        <v>7858.8</v>
      </c>
      <c r="AH14" s="95"/>
      <c r="AI14" s="95"/>
      <c r="AJ14" s="95">
        <f t="shared" si="16"/>
        <v>7858.8</v>
      </c>
      <c r="AK14" s="95">
        <f>S14-AJ14</f>
        <v>0</v>
      </c>
    </row>
    <row r="15" spans="1:37" s="29" customFormat="1" ht="15">
      <c r="A15" s="26" t="s">
        <v>170</v>
      </c>
      <c r="B15" s="182">
        <v>3023</v>
      </c>
      <c r="C15" s="7" t="s">
        <v>34</v>
      </c>
      <c r="D15" s="187" t="s">
        <v>171</v>
      </c>
      <c r="E15" s="187" t="s">
        <v>111</v>
      </c>
      <c r="F15" s="7" t="s">
        <v>0</v>
      </c>
      <c r="G15" t="s">
        <v>36</v>
      </c>
      <c r="H15" t="s">
        <v>186</v>
      </c>
      <c r="I15" s="5">
        <v>3</v>
      </c>
      <c r="J15" s="29">
        <f t="shared" si="4"/>
        <v>20</v>
      </c>
      <c r="K15" s="100">
        <f>Table!$H$7*I15*J15</f>
        <v>14767.2</v>
      </c>
      <c r="L15" t="s">
        <v>47</v>
      </c>
      <c r="M15" s="29">
        <v>1</v>
      </c>
      <c r="N15" s="101">
        <v>50000</v>
      </c>
      <c r="O15" s="95">
        <f t="shared" si="19"/>
        <v>6000</v>
      </c>
      <c r="P15" s="95">
        <f>O15*Table!$H$1</f>
        <v>1858.8000000000002</v>
      </c>
      <c r="Q15" s="95">
        <f t="shared" si="5"/>
        <v>7858.8</v>
      </c>
      <c r="R15" s="95"/>
      <c r="S15" s="95">
        <f t="shared" si="6"/>
        <v>7858.8</v>
      </c>
      <c r="T15" s="96">
        <f t="shared" si="7"/>
        <v>6908.400000000001</v>
      </c>
      <c r="U15"/>
      <c r="V15" s="15">
        <f t="shared" si="18"/>
        <v>20</v>
      </c>
      <c r="W15" s="27">
        <f t="shared" si="1"/>
        <v>1</v>
      </c>
      <c r="X15" s="98">
        <f t="shared" si="8"/>
        <v>1381.6800000000003</v>
      </c>
      <c r="Y15" s="133">
        <f t="shared" si="9"/>
        <v>3454.2000000000003</v>
      </c>
      <c r="Z15" s="98">
        <f t="shared" si="10"/>
        <v>2072.52</v>
      </c>
      <c r="AA15" s="12">
        <f t="shared" si="11"/>
        <v>0</v>
      </c>
      <c r="AB15" s="27">
        <f t="shared" si="2"/>
        <v>0</v>
      </c>
      <c r="AC15" s="96">
        <f>T15*AB15</f>
        <v>0</v>
      </c>
      <c r="AD15"/>
      <c r="AE15" s="99">
        <f t="shared" si="13"/>
        <v>6000</v>
      </c>
      <c r="AF15" s="99">
        <f t="shared" si="14"/>
        <v>1858.8000000000002</v>
      </c>
      <c r="AG15" s="99">
        <f t="shared" si="15"/>
        <v>7858.8</v>
      </c>
      <c r="AH15" s="95"/>
      <c r="AI15" s="95"/>
      <c r="AJ15" s="95">
        <f t="shared" si="16"/>
        <v>7858.8</v>
      </c>
      <c r="AK15" s="95">
        <f>S15-AJ15</f>
        <v>0</v>
      </c>
    </row>
    <row r="16" spans="1:37" s="29" customFormat="1" ht="15">
      <c r="A16" s="26" t="s">
        <v>165</v>
      </c>
      <c r="B16" s="182">
        <v>3043</v>
      </c>
      <c r="C16" s="7" t="s">
        <v>34</v>
      </c>
      <c r="D16" s="187" t="s">
        <v>172</v>
      </c>
      <c r="E16" s="187" t="s">
        <v>111</v>
      </c>
      <c r="F16" s="7" t="s">
        <v>0</v>
      </c>
      <c r="G16" t="s">
        <v>36</v>
      </c>
      <c r="H16" t="s">
        <v>186</v>
      </c>
      <c r="I16" s="5">
        <v>3</v>
      </c>
      <c r="J16" s="29">
        <f t="shared" si="4"/>
        <v>20</v>
      </c>
      <c r="K16" s="100">
        <f>Table!$H$7*I16*J16</f>
        <v>14767.2</v>
      </c>
      <c r="L16" t="s">
        <v>47</v>
      </c>
      <c r="M16" s="29">
        <v>1</v>
      </c>
      <c r="N16" s="101">
        <v>50000</v>
      </c>
      <c r="O16" s="95">
        <f t="shared" si="19"/>
        <v>6000</v>
      </c>
      <c r="P16" s="95">
        <f>O16*Table!$H$1</f>
        <v>1858.8000000000002</v>
      </c>
      <c r="Q16" s="95">
        <f t="shared" si="5"/>
        <v>7858.8</v>
      </c>
      <c r="R16" s="95"/>
      <c r="S16" s="95">
        <f t="shared" si="6"/>
        <v>7858.8</v>
      </c>
      <c r="T16" s="96">
        <f t="shared" si="7"/>
        <v>6908.400000000001</v>
      </c>
      <c r="U16"/>
      <c r="V16" s="15">
        <f t="shared" si="18"/>
        <v>20</v>
      </c>
      <c r="W16" s="27">
        <f t="shared" si="1"/>
        <v>1</v>
      </c>
      <c r="X16" s="98">
        <f t="shared" si="8"/>
        <v>1381.6800000000003</v>
      </c>
      <c r="Y16" s="133">
        <f t="shared" si="9"/>
        <v>3454.2000000000003</v>
      </c>
      <c r="Z16" s="98">
        <f t="shared" si="10"/>
        <v>2072.52</v>
      </c>
      <c r="AA16" s="12">
        <f t="shared" si="11"/>
        <v>0</v>
      </c>
      <c r="AB16" s="27">
        <f t="shared" si="2"/>
        <v>0</v>
      </c>
      <c r="AC16" s="96">
        <f>T16*AB16</f>
        <v>0</v>
      </c>
      <c r="AD16"/>
      <c r="AE16" s="99">
        <f t="shared" si="13"/>
        <v>6000</v>
      </c>
      <c r="AF16" s="99">
        <f t="shared" si="14"/>
        <v>1858.8000000000002</v>
      </c>
      <c r="AG16" s="99">
        <f t="shared" si="15"/>
        <v>7858.8</v>
      </c>
      <c r="AH16" s="95"/>
      <c r="AI16" s="95"/>
      <c r="AJ16" s="95">
        <f t="shared" si="16"/>
        <v>7858.8</v>
      </c>
      <c r="AK16" s="95">
        <f>S16-AJ16</f>
        <v>0</v>
      </c>
    </row>
    <row r="17" spans="1:37" s="29" customFormat="1" ht="15">
      <c r="A17" s="26" t="s">
        <v>170</v>
      </c>
      <c r="B17" s="182">
        <v>3203</v>
      </c>
      <c r="C17" s="7" t="s">
        <v>34</v>
      </c>
      <c r="D17" s="187" t="s">
        <v>173</v>
      </c>
      <c r="E17" s="187" t="s">
        <v>111</v>
      </c>
      <c r="F17" s="7" t="s">
        <v>0</v>
      </c>
      <c r="G17" t="s">
        <v>36</v>
      </c>
      <c r="H17" t="s">
        <v>186</v>
      </c>
      <c r="I17" s="5">
        <v>3</v>
      </c>
      <c r="J17" s="29">
        <f t="shared" si="4"/>
        <v>20</v>
      </c>
      <c r="K17" s="100">
        <f>Table!$H$7*I17*J17</f>
        <v>14767.2</v>
      </c>
      <c r="L17" t="s">
        <v>75</v>
      </c>
      <c r="M17" s="29">
        <v>1</v>
      </c>
      <c r="N17" s="101">
        <v>50000</v>
      </c>
      <c r="O17" s="95">
        <f t="shared" si="19"/>
        <v>3750</v>
      </c>
      <c r="P17" s="95">
        <f>O17*Table!$H$1</f>
        <v>1161.75</v>
      </c>
      <c r="Q17" s="95">
        <f t="shared" si="5"/>
        <v>4911.75</v>
      </c>
      <c r="R17" s="95"/>
      <c r="S17" s="95">
        <f t="shared" si="6"/>
        <v>4911.75</v>
      </c>
      <c r="T17" s="96">
        <f t="shared" si="7"/>
        <v>9855.45</v>
      </c>
      <c r="U17"/>
      <c r="V17" s="15">
        <f t="shared" si="18"/>
        <v>20</v>
      </c>
      <c r="W17" s="27">
        <f t="shared" si="1"/>
        <v>1</v>
      </c>
      <c r="X17" s="98">
        <f t="shared" si="8"/>
        <v>1971.0900000000001</v>
      </c>
      <c r="Y17" s="133">
        <f t="shared" si="9"/>
        <v>4927.725</v>
      </c>
      <c r="Z17" s="98">
        <f t="shared" si="10"/>
        <v>2956.635</v>
      </c>
      <c r="AA17" s="12">
        <f t="shared" si="11"/>
        <v>0</v>
      </c>
      <c r="AB17" s="27">
        <f t="shared" si="2"/>
        <v>0</v>
      </c>
      <c r="AC17" s="96">
        <f>T17*AB17</f>
        <v>0</v>
      </c>
      <c r="AD17"/>
      <c r="AE17" s="99">
        <f t="shared" si="13"/>
        <v>3750</v>
      </c>
      <c r="AF17" s="99">
        <f t="shared" si="14"/>
        <v>1161.75</v>
      </c>
      <c r="AG17" s="99">
        <f t="shared" si="15"/>
        <v>4911.75</v>
      </c>
      <c r="AH17" s="95"/>
      <c r="AI17" s="95"/>
      <c r="AJ17" s="95">
        <f t="shared" si="16"/>
        <v>4911.75</v>
      </c>
      <c r="AK17" s="95">
        <f>S17-AJ17</f>
        <v>0</v>
      </c>
    </row>
    <row r="18" spans="1:37" s="29" customFormat="1" ht="15">
      <c r="A18" s="26" t="s">
        <v>167</v>
      </c>
      <c r="B18" s="182" t="s">
        <v>188</v>
      </c>
      <c r="C18" s="7" t="s">
        <v>34</v>
      </c>
      <c r="D18" s="187" t="s">
        <v>187</v>
      </c>
      <c r="E18" s="187" t="s">
        <v>111</v>
      </c>
      <c r="F18" s="7" t="s">
        <v>0</v>
      </c>
      <c r="G18" t="s">
        <v>36</v>
      </c>
      <c r="H18" t="s">
        <v>186</v>
      </c>
      <c r="I18" s="5">
        <v>4</v>
      </c>
      <c r="J18" s="29">
        <f t="shared" si="4"/>
        <v>20</v>
      </c>
      <c r="K18" s="100">
        <f>Table!$H$7*I18*J18</f>
        <v>19689.6</v>
      </c>
      <c r="L18" t="s">
        <v>47</v>
      </c>
      <c r="M18" s="29">
        <v>1</v>
      </c>
      <c r="N18" s="101">
        <v>50000</v>
      </c>
      <c r="O18" s="95">
        <f t="shared" si="19"/>
        <v>8000</v>
      </c>
      <c r="P18" s="95">
        <f>O18*Table!$H$1</f>
        <v>2478.4</v>
      </c>
      <c r="Q18" s="95">
        <f aca="true" t="shared" si="20" ref="Q18:Q28">O18+P18</f>
        <v>10478.4</v>
      </c>
      <c r="R18" s="95"/>
      <c r="S18" s="95">
        <f aca="true" t="shared" si="21" ref="S18:S28">Q18+R18</f>
        <v>10478.4</v>
      </c>
      <c r="T18" s="96">
        <f t="shared" si="7"/>
        <v>9211.199999999999</v>
      </c>
      <c r="U18"/>
      <c r="V18" s="15">
        <f t="shared" si="18"/>
        <v>20</v>
      </c>
      <c r="W18" s="27">
        <f t="shared" si="1"/>
        <v>1</v>
      </c>
      <c r="X18" s="98">
        <f aca="true" t="shared" si="22" ref="X18:X28">(W18*T18)*$X$9</f>
        <v>1842.2399999999998</v>
      </c>
      <c r="Y18" s="133">
        <f aca="true" t="shared" si="23" ref="Y18:Y28">(W18*T18)*$Y$9</f>
        <v>4605.599999999999</v>
      </c>
      <c r="Z18" s="98">
        <f aca="true" t="shared" si="24" ref="Z18:Z28">(W18*T18)*$Z$9</f>
        <v>2763.3599999999997</v>
      </c>
      <c r="AA18" s="12">
        <f t="shared" si="11"/>
        <v>0</v>
      </c>
      <c r="AB18" s="27">
        <f t="shared" si="2"/>
        <v>0</v>
      </c>
      <c r="AC18" s="96">
        <f aca="true" t="shared" si="25" ref="AC18:AC28">T18*AB18</f>
        <v>0</v>
      </c>
      <c r="AD18"/>
      <c r="AE18" s="99">
        <f t="shared" si="13"/>
        <v>8000</v>
      </c>
      <c r="AF18" s="99">
        <f t="shared" si="14"/>
        <v>2478.4</v>
      </c>
      <c r="AG18" s="99">
        <f t="shared" si="15"/>
        <v>10478.4</v>
      </c>
      <c r="AH18" s="95"/>
      <c r="AI18" s="95"/>
      <c r="AJ18" s="95">
        <f aca="true" t="shared" si="26" ref="AJ18:AJ28">AG18+AH18+AI18</f>
        <v>10478.4</v>
      </c>
      <c r="AK18" s="95">
        <f aca="true" t="shared" si="27" ref="AK18:AK28">S18-AJ18</f>
        <v>0</v>
      </c>
    </row>
    <row r="19" spans="1:37" s="29" customFormat="1" ht="15">
      <c r="A19" s="26" t="s">
        <v>167</v>
      </c>
      <c r="B19" s="182">
        <v>3313</v>
      </c>
      <c r="C19" s="7" t="s">
        <v>34</v>
      </c>
      <c r="D19" s="187" t="s">
        <v>174</v>
      </c>
      <c r="E19" s="187" t="s">
        <v>111</v>
      </c>
      <c r="F19" s="7" t="s">
        <v>0</v>
      </c>
      <c r="G19" t="s">
        <v>36</v>
      </c>
      <c r="H19" t="s">
        <v>186</v>
      </c>
      <c r="I19" s="5">
        <v>3</v>
      </c>
      <c r="J19" s="29">
        <f t="shared" si="4"/>
        <v>20</v>
      </c>
      <c r="K19" s="100">
        <f>Table!$H$7*I19*J19</f>
        <v>14767.2</v>
      </c>
      <c r="L19" t="s">
        <v>47</v>
      </c>
      <c r="M19" s="29">
        <v>1</v>
      </c>
      <c r="N19" s="101">
        <v>50000</v>
      </c>
      <c r="O19" s="95">
        <f t="shared" si="19"/>
        <v>6000</v>
      </c>
      <c r="P19" s="95">
        <f>O19*Table!$H$1</f>
        <v>1858.8000000000002</v>
      </c>
      <c r="Q19" s="95">
        <f t="shared" si="20"/>
        <v>7858.8</v>
      </c>
      <c r="R19" s="95"/>
      <c r="S19" s="95">
        <f t="shared" si="21"/>
        <v>7858.8</v>
      </c>
      <c r="T19" s="96">
        <f t="shared" si="7"/>
        <v>6908.400000000001</v>
      </c>
      <c r="U19"/>
      <c r="V19" s="15">
        <f t="shared" si="18"/>
        <v>20</v>
      </c>
      <c r="W19" s="27">
        <f t="shared" si="1"/>
        <v>1</v>
      </c>
      <c r="X19" s="98">
        <f t="shared" si="22"/>
        <v>1381.6800000000003</v>
      </c>
      <c r="Y19" s="133">
        <f t="shared" si="23"/>
        <v>3454.2000000000003</v>
      </c>
      <c r="Z19" s="98">
        <f t="shared" si="24"/>
        <v>2072.52</v>
      </c>
      <c r="AA19" s="12">
        <f t="shared" si="11"/>
        <v>0</v>
      </c>
      <c r="AB19" s="27">
        <f t="shared" si="2"/>
        <v>0</v>
      </c>
      <c r="AC19" s="96">
        <f t="shared" si="25"/>
        <v>0</v>
      </c>
      <c r="AD19"/>
      <c r="AE19" s="99">
        <f t="shared" si="13"/>
        <v>6000</v>
      </c>
      <c r="AF19" s="99">
        <f t="shared" si="14"/>
        <v>1858.8000000000002</v>
      </c>
      <c r="AG19" s="99">
        <f t="shared" si="15"/>
        <v>7858.8</v>
      </c>
      <c r="AH19" s="95"/>
      <c r="AI19" s="95"/>
      <c r="AJ19" s="95">
        <f t="shared" si="26"/>
        <v>7858.8</v>
      </c>
      <c r="AK19" s="95">
        <f t="shared" si="27"/>
        <v>0</v>
      </c>
    </row>
    <row r="20" spans="1:37" s="29" customFormat="1" ht="15">
      <c r="A20" s="26" t="s">
        <v>170</v>
      </c>
      <c r="B20" s="182">
        <v>3723</v>
      </c>
      <c r="C20" s="7" t="s">
        <v>34</v>
      </c>
      <c r="D20" s="188" t="s">
        <v>175</v>
      </c>
      <c r="E20" s="188" t="s">
        <v>111</v>
      </c>
      <c r="F20" s="7" t="s">
        <v>0</v>
      </c>
      <c r="G20" t="s">
        <v>36</v>
      </c>
      <c r="H20" t="s">
        <v>186</v>
      </c>
      <c r="I20" s="5">
        <v>3</v>
      </c>
      <c r="J20" s="29">
        <f t="shared" si="4"/>
        <v>20</v>
      </c>
      <c r="K20" s="100">
        <f>Table!$H$7*I20*J20</f>
        <v>14767.2</v>
      </c>
      <c r="L20" t="s">
        <v>51</v>
      </c>
      <c r="M20" s="29">
        <v>1</v>
      </c>
      <c r="N20" s="101">
        <v>50000</v>
      </c>
      <c r="O20" s="95">
        <f t="shared" si="19"/>
        <v>3750</v>
      </c>
      <c r="P20" s="95">
        <f>O20*Table!$H$1</f>
        <v>1161.75</v>
      </c>
      <c r="Q20" s="95">
        <f t="shared" si="20"/>
        <v>4911.75</v>
      </c>
      <c r="R20" s="95"/>
      <c r="S20" s="95">
        <f t="shared" si="21"/>
        <v>4911.75</v>
      </c>
      <c r="T20" s="96">
        <f t="shared" si="7"/>
        <v>9855.45</v>
      </c>
      <c r="U20"/>
      <c r="V20" s="15">
        <f t="shared" si="18"/>
        <v>20</v>
      </c>
      <c r="W20" s="27">
        <f t="shared" si="1"/>
        <v>1</v>
      </c>
      <c r="X20" s="98">
        <f t="shared" si="22"/>
        <v>1971.0900000000001</v>
      </c>
      <c r="Y20" s="133">
        <f t="shared" si="23"/>
        <v>4927.725</v>
      </c>
      <c r="Z20" s="98">
        <f t="shared" si="24"/>
        <v>2956.635</v>
      </c>
      <c r="AA20" s="12">
        <f t="shared" si="11"/>
        <v>0</v>
      </c>
      <c r="AB20" s="27">
        <f t="shared" si="2"/>
        <v>0</v>
      </c>
      <c r="AC20" s="96">
        <f t="shared" si="25"/>
        <v>0</v>
      </c>
      <c r="AD20"/>
      <c r="AE20" s="99">
        <f t="shared" si="13"/>
        <v>3750</v>
      </c>
      <c r="AF20" s="99">
        <f t="shared" si="14"/>
        <v>1161.75</v>
      </c>
      <c r="AG20" s="99">
        <f t="shared" si="15"/>
        <v>4911.75</v>
      </c>
      <c r="AH20" s="95"/>
      <c r="AI20" s="95"/>
      <c r="AJ20" s="95">
        <f t="shared" si="26"/>
        <v>4911.75</v>
      </c>
      <c r="AK20" s="95">
        <f t="shared" si="27"/>
        <v>0</v>
      </c>
    </row>
    <row r="21" spans="1:37" s="29" customFormat="1" ht="15">
      <c r="A21" s="26" t="s">
        <v>170</v>
      </c>
      <c r="B21" s="182">
        <v>3513</v>
      </c>
      <c r="C21" s="7" t="s">
        <v>34</v>
      </c>
      <c r="D21" s="188" t="s">
        <v>176</v>
      </c>
      <c r="E21" s="188" t="s">
        <v>131</v>
      </c>
      <c r="F21" s="7" t="s">
        <v>0</v>
      </c>
      <c r="G21" t="s">
        <v>36</v>
      </c>
      <c r="H21" t="s">
        <v>186</v>
      </c>
      <c r="I21" s="5">
        <v>3</v>
      </c>
      <c r="J21" s="29">
        <f>$J$8/2</f>
        <v>10</v>
      </c>
      <c r="K21" s="100">
        <f>Table!$H$7*I21*J21</f>
        <v>7383.6</v>
      </c>
      <c r="L21" t="s">
        <v>75</v>
      </c>
      <c r="M21" s="29">
        <v>1</v>
      </c>
      <c r="N21" s="101">
        <v>50000</v>
      </c>
      <c r="O21" s="95">
        <f t="shared" si="19"/>
        <v>3750</v>
      </c>
      <c r="P21" s="95">
        <f>O21*Table!$H$1</f>
        <v>1161.75</v>
      </c>
      <c r="Q21" s="95">
        <f t="shared" si="20"/>
        <v>4911.75</v>
      </c>
      <c r="R21" s="95"/>
      <c r="S21" s="95">
        <f t="shared" si="21"/>
        <v>4911.75</v>
      </c>
      <c r="T21" s="96">
        <f t="shared" si="7"/>
        <v>2471.8500000000004</v>
      </c>
      <c r="U21"/>
      <c r="V21" s="15">
        <f t="shared" si="18"/>
        <v>10</v>
      </c>
      <c r="W21" s="27">
        <f t="shared" si="1"/>
        <v>1</v>
      </c>
      <c r="X21" s="98">
        <f t="shared" si="22"/>
        <v>494.3700000000001</v>
      </c>
      <c r="Y21" s="133">
        <f t="shared" si="23"/>
        <v>1235.9250000000002</v>
      </c>
      <c r="Z21" s="98">
        <f t="shared" si="24"/>
        <v>741.5550000000001</v>
      </c>
      <c r="AA21" s="12">
        <f t="shared" si="11"/>
        <v>0</v>
      </c>
      <c r="AB21" s="27">
        <f t="shared" si="2"/>
        <v>0</v>
      </c>
      <c r="AC21" s="96">
        <f t="shared" si="25"/>
        <v>0</v>
      </c>
      <c r="AD21"/>
      <c r="AE21" s="99">
        <f t="shared" si="13"/>
        <v>3750</v>
      </c>
      <c r="AF21" s="99">
        <f t="shared" si="14"/>
        <v>1161.75</v>
      </c>
      <c r="AG21" s="99">
        <f t="shared" si="15"/>
        <v>4911.75</v>
      </c>
      <c r="AH21" s="95"/>
      <c r="AI21" s="95"/>
      <c r="AJ21" s="95">
        <f t="shared" si="26"/>
        <v>4911.75</v>
      </c>
      <c r="AK21" s="95">
        <f t="shared" si="27"/>
        <v>0</v>
      </c>
    </row>
    <row r="22" spans="1:37" s="29" customFormat="1" ht="15">
      <c r="A22" s="26" t="s">
        <v>170</v>
      </c>
      <c r="B22" s="182">
        <v>3063</v>
      </c>
      <c r="C22" s="7" t="s">
        <v>34</v>
      </c>
      <c r="D22" s="188" t="s">
        <v>177</v>
      </c>
      <c r="E22" s="188" t="s">
        <v>131</v>
      </c>
      <c r="F22" s="7" t="s">
        <v>0</v>
      </c>
      <c r="G22" t="s">
        <v>36</v>
      </c>
      <c r="H22" t="s">
        <v>186</v>
      </c>
      <c r="I22" s="5">
        <v>3</v>
      </c>
      <c r="J22" s="29">
        <f aca="true" t="shared" si="28" ref="J22:J28">$J$8/2</f>
        <v>10</v>
      </c>
      <c r="K22" s="100">
        <f>Table!$H$7*I22*J22</f>
        <v>7383.6</v>
      </c>
      <c r="L22" t="s">
        <v>51</v>
      </c>
      <c r="M22" s="29">
        <v>1</v>
      </c>
      <c r="N22" s="101">
        <v>50000</v>
      </c>
      <c r="O22" s="95">
        <f t="shared" si="19"/>
        <v>3750</v>
      </c>
      <c r="P22" s="95">
        <f>O22*Table!$H$1</f>
        <v>1161.75</v>
      </c>
      <c r="Q22" s="95">
        <f t="shared" si="20"/>
        <v>4911.75</v>
      </c>
      <c r="R22" s="95"/>
      <c r="S22" s="95">
        <f t="shared" si="21"/>
        <v>4911.75</v>
      </c>
      <c r="T22" s="96">
        <f t="shared" si="7"/>
        <v>2471.8500000000004</v>
      </c>
      <c r="U22"/>
      <c r="V22" s="15">
        <f t="shared" si="18"/>
        <v>10</v>
      </c>
      <c r="W22" s="27">
        <f t="shared" si="1"/>
        <v>1</v>
      </c>
      <c r="X22" s="98">
        <f t="shared" si="22"/>
        <v>494.3700000000001</v>
      </c>
      <c r="Y22" s="133">
        <f t="shared" si="23"/>
        <v>1235.9250000000002</v>
      </c>
      <c r="Z22" s="98">
        <f t="shared" si="24"/>
        <v>741.5550000000001</v>
      </c>
      <c r="AA22" s="12">
        <f t="shared" si="11"/>
        <v>0</v>
      </c>
      <c r="AB22" s="27">
        <f t="shared" si="2"/>
        <v>0</v>
      </c>
      <c r="AC22" s="96">
        <f t="shared" si="25"/>
        <v>0</v>
      </c>
      <c r="AD22"/>
      <c r="AE22" s="99">
        <f t="shared" si="13"/>
        <v>3750</v>
      </c>
      <c r="AF22" s="99">
        <f t="shared" si="14"/>
        <v>1161.75</v>
      </c>
      <c r="AG22" s="99">
        <f t="shared" si="15"/>
        <v>4911.75</v>
      </c>
      <c r="AH22" s="95"/>
      <c r="AI22" s="95"/>
      <c r="AJ22" s="95">
        <f t="shared" si="26"/>
        <v>4911.75</v>
      </c>
      <c r="AK22" s="95">
        <f t="shared" si="27"/>
        <v>0</v>
      </c>
    </row>
    <row r="23" spans="1:37" s="29" customFormat="1" ht="15">
      <c r="A23" s="26" t="s">
        <v>165</v>
      </c>
      <c r="B23" s="182">
        <v>3503</v>
      </c>
      <c r="C23" s="7" t="s">
        <v>34</v>
      </c>
      <c r="D23" s="188" t="s">
        <v>178</v>
      </c>
      <c r="E23" s="188" t="s">
        <v>120</v>
      </c>
      <c r="F23" s="7" t="s">
        <v>0</v>
      </c>
      <c r="G23" t="s">
        <v>36</v>
      </c>
      <c r="H23" t="s">
        <v>186</v>
      </c>
      <c r="I23" s="5">
        <v>3</v>
      </c>
      <c r="J23" s="29">
        <f t="shared" si="28"/>
        <v>10</v>
      </c>
      <c r="K23" s="100">
        <f>Table!$H$7*I23*J23</f>
        <v>7383.6</v>
      </c>
      <c r="L23" t="s">
        <v>47</v>
      </c>
      <c r="M23" s="29">
        <v>1</v>
      </c>
      <c r="N23" s="101">
        <v>50000</v>
      </c>
      <c r="O23" s="95">
        <f t="shared" si="19"/>
        <v>6000</v>
      </c>
      <c r="P23" s="95">
        <f>O23*Table!$H$1</f>
        <v>1858.8000000000002</v>
      </c>
      <c r="Q23" s="95">
        <f t="shared" si="20"/>
        <v>7858.8</v>
      </c>
      <c r="R23" s="95"/>
      <c r="S23" s="95">
        <f t="shared" si="21"/>
        <v>7858.8</v>
      </c>
      <c r="T23" s="96">
        <f t="shared" si="7"/>
        <v>-475.1999999999998</v>
      </c>
      <c r="U23"/>
      <c r="V23" s="15">
        <f t="shared" si="18"/>
        <v>10</v>
      </c>
      <c r="W23" s="27">
        <f t="shared" si="1"/>
        <v>1</v>
      </c>
      <c r="X23" s="98">
        <f t="shared" si="22"/>
        <v>-95.03999999999996</v>
      </c>
      <c r="Y23" s="133">
        <f t="shared" si="23"/>
        <v>-237.5999999999999</v>
      </c>
      <c r="Z23" s="98">
        <f t="shared" si="24"/>
        <v>-142.55999999999995</v>
      </c>
      <c r="AA23" s="12">
        <f t="shared" si="11"/>
        <v>0</v>
      </c>
      <c r="AB23" s="27">
        <f t="shared" si="2"/>
        <v>0</v>
      </c>
      <c r="AC23" s="96">
        <f t="shared" si="25"/>
        <v>0</v>
      </c>
      <c r="AD23"/>
      <c r="AE23" s="99">
        <f t="shared" si="13"/>
        <v>6000</v>
      </c>
      <c r="AF23" s="99">
        <f t="shared" si="14"/>
        <v>1858.8000000000002</v>
      </c>
      <c r="AG23" s="99">
        <f t="shared" si="15"/>
        <v>7858.8</v>
      </c>
      <c r="AH23" s="95"/>
      <c r="AI23" s="95"/>
      <c r="AJ23" s="95">
        <f t="shared" si="26"/>
        <v>7858.8</v>
      </c>
      <c r="AK23" s="95">
        <f t="shared" si="27"/>
        <v>0</v>
      </c>
    </row>
    <row r="24" spans="1:37" s="29" customFormat="1" ht="15">
      <c r="A24" s="26" t="s">
        <v>165</v>
      </c>
      <c r="B24" s="182">
        <v>4013</v>
      </c>
      <c r="C24" s="7" t="s">
        <v>34</v>
      </c>
      <c r="D24" s="188" t="s">
        <v>179</v>
      </c>
      <c r="E24" s="188" t="s">
        <v>131</v>
      </c>
      <c r="F24" s="7" t="s">
        <v>0</v>
      </c>
      <c r="G24" t="s">
        <v>36</v>
      </c>
      <c r="H24" t="s">
        <v>186</v>
      </c>
      <c r="I24" s="5">
        <v>3</v>
      </c>
      <c r="J24" s="29">
        <f t="shared" si="28"/>
        <v>10</v>
      </c>
      <c r="K24" s="100">
        <f>Table!$H$7*I24*J24</f>
        <v>7383.6</v>
      </c>
      <c r="L24" t="s">
        <v>50</v>
      </c>
      <c r="M24" s="29">
        <v>1</v>
      </c>
      <c r="N24" s="101">
        <v>50000</v>
      </c>
      <c r="O24" s="95">
        <f t="shared" si="19"/>
        <v>3750</v>
      </c>
      <c r="P24" s="95">
        <f>O24*Table!$H$1</f>
        <v>1161.75</v>
      </c>
      <c r="Q24" s="95">
        <f t="shared" si="20"/>
        <v>4911.75</v>
      </c>
      <c r="R24" s="95"/>
      <c r="S24" s="95">
        <f t="shared" si="21"/>
        <v>4911.75</v>
      </c>
      <c r="T24" s="96">
        <f t="shared" si="7"/>
        <v>2471.8500000000004</v>
      </c>
      <c r="U24"/>
      <c r="V24" s="15">
        <f t="shared" si="18"/>
        <v>10</v>
      </c>
      <c r="W24" s="27">
        <f t="shared" si="1"/>
        <v>1</v>
      </c>
      <c r="X24" s="98">
        <f t="shared" si="22"/>
        <v>494.3700000000001</v>
      </c>
      <c r="Y24" s="133">
        <f t="shared" si="23"/>
        <v>1235.9250000000002</v>
      </c>
      <c r="Z24" s="98">
        <f t="shared" si="24"/>
        <v>741.5550000000001</v>
      </c>
      <c r="AA24" s="12">
        <f t="shared" si="11"/>
        <v>0</v>
      </c>
      <c r="AB24" s="27">
        <f t="shared" si="2"/>
        <v>0</v>
      </c>
      <c r="AC24" s="96">
        <f t="shared" si="25"/>
        <v>0</v>
      </c>
      <c r="AD24"/>
      <c r="AE24" s="99" t="str">
        <f t="shared" si="13"/>
        <v>0.00</v>
      </c>
      <c r="AF24" s="99" t="str">
        <f t="shared" si="14"/>
        <v>0.00</v>
      </c>
      <c r="AG24" s="99" t="str">
        <f t="shared" si="15"/>
        <v>0.00</v>
      </c>
      <c r="AH24" s="95"/>
      <c r="AI24" s="95"/>
      <c r="AJ24" s="95">
        <f t="shared" si="26"/>
        <v>0</v>
      </c>
      <c r="AK24" s="95">
        <f t="shared" si="27"/>
        <v>4911.75</v>
      </c>
    </row>
    <row r="25" spans="1:37" s="29" customFormat="1" ht="15">
      <c r="A25" s="26" t="s">
        <v>165</v>
      </c>
      <c r="B25" s="182">
        <v>4043</v>
      </c>
      <c r="C25" s="7" t="s">
        <v>34</v>
      </c>
      <c r="D25" s="188" t="s">
        <v>180</v>
      </c>
      <c r="E25" s="188" t="s">
        <v>192</v>
      </c>
      <c r="F25" s="7" t="s">
        <v>0</v>
      </c>
      <c r="G25" t="s">
        <v>36</v>
      </c>
      <c r="H25" t="s">
        <v>186</v>
      </c>
      <c r="I25" s="5">
        <v>3</v>
      </c>
      <c r="J25" s="29">
        <f t="shared" si="28"/>
        <v>10</v>
      </c>
      <c r="K25" s="100">
        <f>Table!$H$7*I25*J25</f>
        <v>7383.6</v>
      </c>
      <c r="L25" t="s">
        <v>75</v>
      </c>
      <c r="M25" s="29">
        <v>1</v>
      </c>
      <c r="N25" s="101">
        <v>50000</v>
      </c>
      <c r="O25" s="95">
        <f t="shared" si="19"/>
        <v>3750</v>
      </c>
      <c r="P25" s="95">
        <f>O25*Table!$H$1</f>
        <v>1161.75</v>
      </c>
      <c r="Q25" s="95">
        <f t="shared" si="20"/>
        <v>4911.75</v>
      </c>
      <c r="R25" s="95"/>
      <c r="S25" s="95">
        <f t="shared" si="21"/>
        <v>4911.75</v>
      </c>
      <c r="T25" s="96">
        <f t="shared" si="7"/>
        <v>2471.8500000000004</v>
      </c>
      <c r="U25"/>
      <c r="V25" s="15">
        <f t="shared" si="18"/>
        <v>10</v>
      </c>
      <c r="W25" s="27">
        <f t="shared" si="1"/>
        <v>1</v>
      </c>
      <c r="X25" s="98">
        <f t="shared" si="22"/>
        <v>494.3700000000001</v>
      </c>
      <c r="Y25" s="133">
        <f t="shared" si="23"/>
        <v>1235.9250000000002</v>
      </c>
      <c r="Z25" s="98">
        <f t="shared" si="24"/>
        <v>741.5550000000001</v>
      </c>
      <c r="AA25" s="12">
        <f t="shared" si="11"/>
        <v>0</v>
      </c>
      <c r="AB25" s="27">
        <f t="shared" si="2"/>
        <v>0</v>
      </c>
      <c r="AC25" s="96">
        <f t="shared" si="25"/>
        <v>0</v>
      </c>
      <c r="AD25"/>
      <c r="AE25" s="99">
        <f t="shared" si="13"/>
        <v>3750</v>
      </c>
      <c r="AF25" s="99">
        <f t="shared" si="14"/>
        <v>1161.75</v>
      </c>
      <c r="AG25" s="99">
        <f t="shared" si="15"/>
        <v>4911.75</v>
      </c>
      <c r="AH25" s="95"/>
      <c r="AI25" s="95"/>
      <c r="AJ25" s="95">
        <f t="shared" si="26"/>
        <v>4911.75</v>
      </c>
      <c r="AK25" s="95">
        <f t="shared" si="27"/>
        <v>0</v>
      </c>
    </row>
    <row r="26" spans="1:37" s="29" customFormat="1" ht="15">
      <c r="A26" s="26" t="s">
        <v>167</v>
      </c>
      <c r="B26" s="182">
        <v>4013</v>
      </c>
      <c r="C26" s="7" t="s">
        <v>34</v>
      </c>
      <c r="D26" s="188" t="s">
        <v>181</v>
      </c>
      <c r="E26" s="188" t="s">
        <v>192</v>
      </c>
      <c r="F26" s="7" t="s">
        <v>0</v>
      </c>
      <c r="G26" t="s">
        <v>36</v>
      </c>
      <c r="H26" t="s">
        <v>186</v>
      </c>
      <c r="I26" s="5">
        <v>3</v>
      </c>
      <c r="J26" s="29">
        <f t="shared" si="28"/>
        <v>10</v>
      </c>
      <c r="K26" s="100">
        <f>Table!$H$7*I26*J26</f>
        <v>7383.6</v>
      </c>
      <c r="L26" t="s">
        <v>50</v>
      </c>
      <c r="M26" s="29">
        <v>1</v>
      </c>
      <c r="N26" s="101">
        <v>50000</v>
      </c>
      <c r="O26" s="95">
        <f t="shared" si="19"/>
        <v>3750</v>
      </c>
      <c r="P26" s="95">
        <f>O26*Table!$H$1</f>
        <v>1161.75</v>
      </c>
      <c r="Q26" s="95">
        <f t="shared" si="20"/>
        <v>4911.75</v>
      </c>
      <c r="R26" s="95"/>
      <c r="S26" s="95">
        <f t="shared" si="21"/>
        <v>4911.75</v>
      </c>
      <c r="T26" s="96">
        <f t="shared" si="7"/>
        <v>2471.8500000000004</v>
      </c>
      <c r="U26"/>
      <c r="V26" s="15">
        <f t="shared" si="18"/>
        <v>10</v>
      </c>
      <c r="W26" s="27">
        <f t="shared" si="1"/>
        <v>1</v>
      </c>
      <c r="X26" s="98">
        <f t="shared" si="22"/>
        <v>494.3700000000001</v>
      </c>
      <c r="Y26" s="133">
        <f t="shared" si="23"/>
        <v>1235.9250000000002</v>
      </c>
      <c r="Z26" s="98">
        <f t="shared" si="24"/>
        <v>741.5550000000001</v>
      </c>
      <c r="AA26" s="12">
        <f t="shared" si="11"/>
        <v>0</v>
      </c>
      <c r="AB26" s="27">
        <f t="shared" si="2"/>
        <v>0</v>
      </c>
      <c r="AC26" s="96">
        <f t="shared" si="25"/>
        <v>0</v>
      </c>
      <c r="AD26"/>
      <c r="AE26" s="99" t="str">
        <f t="shared" si="13"/>
        <v>0.00</v>
      </c>
      <c r="AF26" s="99" t="str">
        <f t="shared" si="14"/>
        <v>0.00</v>
      </c>
      <c r="AG26" s="99" t="str">
        <f t="shared" si="15"/>
        <v>0.00</v>
      </c>
      <c r="AH26" s="95"/>
      <c r="AI26" s="95"/>
      <c r="AJ26" s="95">
        <f t="shared" si="26"/>
        <v>0</v>
      </c>
      <c r="AK26" s="95">
        <f t="shared" si="27"/>
        <v>4911.75</v>
      </c>
    </row>
    <row r="27" spans="1:37" s="29" customFormat="1" ht="15">
      <c r="A27" s="26" t="s">
        <v>165</v>
      </c>
      <c r="B27" s="182">
        <v>3413</v>
      </c>
      <c r="C27" s="7" t="s">
        <v>34</v>
      </c>
      <c r="D27" s="188" t="s">
        <v>179</v>
      </c>
      <c r="E27" s="188" t="s">
        <v>192</v>
      </c>
      <c r="F27" s="7" t="s">
        <v>0</v>
      </c>
      <c r="G27" t="s">
        <v>36</v>
      </c>
      <c r="H27" t="s">
        <v>186</v>
      </c>
      <c r="I27" s="5">
        <v>3</v>
      </c>
      <c r="J27" s="29">
        <f t="shared" si="28"/>
        <v>10</v>
      </c>
      <c r="K27" s="100">
        <f>Table!$H$7*I27*J27</f>
        <v>7383.6</v>
      </c>
      <c r="L27" t="s">
        <v>50</v>
      </c>
      <c r="M27" s="29">
        <v>1</v>
      </c>
      <c r="N27" s="101">
        <v>50000</v>
      </c>
      <c r="O27" s="95">
        <f t="shared" si="19"/>
        <v>3750</v>
      </c>
      <c r="P27" s="95">
        <f>O27*Table!$H$1</f>
        <v>1161.75</v>
      </c>
      <c r="Q27" s="95">
        <f t="shared" si="20"/>
        <v>4911.75</v>
      </c>
      <c r="R27" s="95"/>
      <c r="S27" s="95">
        <f t="shared" si="21"/>
        <v>4911.75</v>
      </c>
      <c r="T27" s="96">
        <f t="shared" si="7"/>
        <v>2471.8500000000004</v>
      </c>
      <c r="U27"/>
      <c r="V27" s="15">
        <f t="shared" si="18"/>
        <v>10</v>
      </c>
      <c r="W27" s="27">
        <f t="shared" si="1"/>
        <v>1</v>
      </c>
      <c r="X27" s="98">
        <f t="shared" si="22"/>
        <v>494.3700000000001</v>
      </c>
      <c r="Y27" s="133">
        <f t="shared" si="23"/>
        <v>1235.9250000000002</v>
      </c>
      <c r="Z27" s="98">
        <f t="shared" si="24"/>
        <v>741.5550000000001</v>
      </c>
      <c r="AA27" s="12">
        <f t="shared" si="11"/>
        <v>0</v>
      </c>
      <c r="AB27" s="27">
        <f t="shared" si="2"/>
        <v>0</v>
      </c>
      <c r="AC27" s="96">
        <f t="shared" si="25"/>
        <v>0</v>
      </c>
      <c r="AD27"/>
      <c r="AE27" s="99" t="str">
        <f t="shared" si="13"/>
        <v>0.00</v>
      </c>
      <c r="AF27" s="99" t="str">
        <f t="shared" si="14"/>
        <v>0.00</v>
      </c>
      <c r="AG27" s="99" t="str">
        <f t="shared" si="15"/>
        <v>0.00</v>
      </c>
      <c r="AH27" s="95"/>
      <c r="AI27" s="95"/>
      <c r="AJ27" s="95">
        <f t="shared" si="26"/>
        <v>0</v>
      </c>
      <c r="AK27" s="95">
        <f t="shared" si="27"/>
        <v>4911.75</v>
      </c>
    </row>
    <row r="28" spans="1:37" s="29" customFormat="1" ht="15">
      <c r="A28" s="26" t="s">
        <v>167</v>
      </c>
      <c r="B28" s="182">
        <v>3413</v>
      </c>
      <c r="C28" s="7" t="s">
        <v>34</v>
      </c>
      <c r="D28" s="188" t="s">
        <v>181</v>
      </c>
      <c r="E28" s="188" t="s">
        <v>131</v>
      </c>
      <c r="F28" s="7" t="s">
        <v>0</v>
      </c>
      <c r="G28" t="s">
        <v>36</v>
      </c>
      <c r="H28" t="s">
        <v>186</v>
      </c>
      <c r="I28" s="5">
        <v>3</v>
      </c>
      <c r="J28" s="29">
        <f t="shared" si="28"/>
        <v>10</v>
      </c>
      <c r="K28" s="100">
        <f>Table!$H$7*I28*J28</f>
        <v>7383.6</v>
      </c>
      <c r="L28" t="s">
        <v>50</v>
      </c>
      <c r="M28" s="29">
        <v>1</v>
      </c>
      <c r="N28" s="101">
        <v>50000</v>
      </c>
      <c r="O28" s="95">
        <f t="shared" si="19"/>
        <v>3750</v>
      </c>
      <c r="P28" s="95">
        <f>O28*Table!$H$1</f>
        <v>1161.75</v>
      </c>
      <c r="Q28" s="95">
        <f t="shared" si="20"/>
        <v>4911.75</v>
      </c>
      <c r="R28" s="95"/>
      <c r="S28" s="95">
        <f t="shared" si="21"/>
        <v>4911.75</v>
      </c>
      <c r="T28" s="96">
        <f t="shared" si="7"/>
        <v>2471.8500000000004</v>
      </c>
      <c r="U28"/>
      <c r="V28" s="15">
        <f t="shared" si="18"/>
        <v>10</v>
      </c>
      <c r="W28" s="27">
        <f t="shared" si="1"/>
        <v>1</v>
      </c>
      <c r="X28" s="98">
        <f t="shared" si="22"/>
        <v>494.3700000000001</v>
      </c>
      <c r="Y28" s="133">
        <f t="shared" si="23"/>
        <v>1235.9250000000002</v>
      </c>
      <c r="Z28" s="98">
        <f t="shared" si="24"/>
        <v>741.5550000000001</v>
      </c>
      <c r="AA28" s="12">
        <f t="shared" si="11"/>
        <v>0</v>
      </c>
      <c r="AB28" s="27">
        <f t="shared" si="2"/>
        <v>0</v>
      </c>
      <c r="AC28" s="96">
        <f t="shared" si="25"/>
        <v>0</v>
      </c>
      <c r="AD28"/>
      <c r="AE28" s="99" t="str">
        <f t="shared" si="13"/>
        <v>0.00</v>
      </c>
      <c r="AF28" s="99" t="str">
        <f t="shared" si="14"/>
        <v>0.00</v>
      </c>
      <c r="AG28" s="99" t="str">
        <f t="shared" si="15"/>
        <v>0.00</v>
      </c>
      <c r="AH28" s="95"/>
      <c r="AI28" s="95"/>
      <c r="AJ28" s="95">
        <f t="shared" si="26"/>
        <v>0</v>
      </c>
      <c r="AK28" s="95">
        <f t="shared" si="27"/>
        <v>4911.75</v>
      </c>
    </row>
    <row r="29" spans="25:37" ht="15">
      <c r="Y29" s="77"/>
      <c r="AE29" s="28"/>
      <c r="AF29" s="28"/>
      <c r="AG29" s="28"/>
      <c r="AH29" s="28"/>
      <c r="AI29" s="28"/>
      <c r="AJ29" s="28"/>
      <c r="AK29" s="28"/>
    </row>
    <row r="30" spans="1:37" s="29" customFormat="1" ht="15">
      <c r="A30" s="56"/>
      <c r="I30" s="57"/>
      <c r="K30" s="58"/>
      <c r="N30" s="59"/>
      <c r="O30" s="60"/>
      <c r="P30" s="60"/>
      <c r="Q30" s="60"/>
      <c r="R30"/>
      <c r="S30"/>
      <c r="T30"/>
      <c r="U30"/>
      <c r="V30"/>
      <c r="W30"/>
      <c r="X30"/>
      <c r="Y30" s="77"/>
      <c r="Z30"/>
      <c r="AA30"/>
      <c r="AB30"/>
      <c r="AC30"/>
      <c r="AD30"/>
      <c r="AE30" s="28"/>
      <c r="AF30" s="28"/>
      <c r="AG30" s="28"/>
      <c r="AH30" s="28"/>
      <c r="AI30" s="28"/>
      <c r="AJ30" s="28"/>
      <c r="AK30" s="28"/>
    </row>
    <row r="31" spans="1:30" s="29" customFormat="1" ht="15">
      <c r="A31" s="56"/>
      <c r="I31" s="57"/>
      <c r="K31" s="58"/>
      <c r="N31" s="59"/>
      <c r="O31" s="60"/>
      <c r="P31" s="60"/>
      <c r="Q31" s="60"/>
      <c r="R31" s="61"/>
      <c r="S31" s="60"/>
      <c r="T31" s="60"/>
      <c r="U31"/>
      <c r="V31" s="60"/>
      <c r="W31" s="62"/>
      <c r="Y31" s="134"/>
      <c r="AD31"/>
    </row>
    <row r="32" spans="1:30" s="29" customFormat="1" ht="15">
      <c r="A32" s="56"/>
      <c r="I32" s="57"/>
      <c r="K32" s="58"/>
      <c r="N32" s="59"/>
      <c r="O32" s="60"/>
      <c r="P32" s="60"/>
      <c r="Q32" s="60"/>
      <c r="R32" s="61"/>
      <c r="S32" s="60"/>
      <c r="T32" s="60"/>
      <c r="U32" s="148"/>
      <c r="V32" s="60"/>
      <c r="W32" s="62"/>
      <c r="Y32" s="134"/>
      <c r="AD32" s="148"/>
    </row>
    <row r="33" spans="1:37" s="29" customFormat="1" ht="15">
      <c r="A33" s="190" t="s">
        <v>182</v>
      </c>
      <c r="B33" s="187"/>
      <c r="C33" s="187"/>
      <c r="I33" s="57"/>
      <c r="J33" s="63"/>
      <c r="K33" s="144"/>
      <c r="L33" s="145"/>
      <c r="M33" s="146"/>
      <c r="N33" s="146"/>
      <c r="O33" s="147"/>
      <c r="P33" s="147"/>
      <c r="Q33" s="147"/>
      <c r="R33" s="147"/>
      <c r="S33" s="147"/>
      <c r="T33" s="144"/>
      <c r="U33" s="148"/>
      <c r="V33" s="149"/>
      <c r="W33" s="150"/>
      <c r="X33" s="151"/>
      <c r="Y33" s="152"/>
      <c r="Z33" s="151"/>
      <c r="AA33" s="149"/>
      <c r="AB33" s="150"/>
      <c r="AC33" s="144"/>
      <c r="AD33" s="148"/>
      <c r="AE33" s="147"/>
      <c r="AF33" s="147"/>
      <c r="AG33" s="147"/>
      <c r="AH33" s="147"/>
      <c r="AI33" s="147"/>
      <c r="AJ33" s="147"/>
      <c r="AK33" s="147"/>
    </row>
    <row r="34" spans="1:30" s="29" customFormat="1" ht="15">
      <c r="A34" s="189" t="s">
        <v>183</v>
      </c>
      <c r="B34" s="188"/>
      <c r="C34" s="188"/>
      <c r="I34" s="57"/>
      <c r="K34" s="58"/>
      <c r="N34" s="59"/>
      <c r="O34" s="60"/>
      <c r="P34" s="60"/>
      <c r="Q34" s="60"/>
      <c r="R34" s="61"/>
      <c r="S34" s="60"/>
      <c r="T34" s="60"/>
      <c r="U34" s="148"/>
      <c r="V34" s="60"/>
      <c r="W34" s="62"/>
      <c r="Y34" s="134"/>
      <c r="AD34" s="148"/>
    </row>
    <row r="35" spans="1:30" s="29" customFormat="1" ht="15">
      <c r="A35" s="56"/>
      <c r="I35" s="57"/>
      <c r="K35" s="58"/>
      <c r="N35" s="59"/>
      <c r="O35" s="60"/>
      <c r="P35" s="60"/>
      <c r="Q35" s="60"/>
      <c r="R35" s="61"/>
      <c r="S35" s="60"/>
      <c r="T35" s="60"/>
      <c r="U35" s="148"/>
      <c r="V35" s="60"/>
      <c r="W35" s="62"/>
      <c r="Y35" s="134"/>
      <c r="AD35" s="148"/>
    </row>
    <row r="36" spans="1:37" s="29" customFormat="1" ht="15">
      <c r="A36" s="56"/>
      <c r="I36" s="57"/>
      <c r="J36" s="153"/>
      <c r="K36" s="144"/>
      <c r="L36" s="145"/>
      <c r="M36" s="146"/>
      <c r="N36" s="146"/>
      <c r="O36" s="147"/>
      <c r="P36" s="147"/>
      <c r="Q36" s="147"/>
      <c r="R36" s="147"/>
      <c r="S36" s="147"/>
      <c r="T36" s="144"/>
      <c r="U36" s="148"/>
      <c r="V36" s="149"/>
      <c r="W36" s="150"/>
      <c r="X36" s="151"/>
      <c r="Y36" s="152"/>
      <c r="Z36" s="151"/>
      <c r="AA36" s="149"/>
      <c r="AB36" s="150"/>
      <c r="AC36" s="144"/>
      <c r="AD36" s="148"/>
      <c r="AE36" s="147"/>
      <c r="AF36" s="147"/>
      <c r="AG36" s="147"/>
      <c r="AH36" s="147"/>
      <c r="AI36" s="147"/>
      <c r="AJ36" s="147"/>
      <c r="AK36" s="147"/>
    </row>
    <row r="37" spans="1:30" s="29" customFormat="1" ht="15">
      <c r="A37" s="56"/>
      <c r="I37" s="57"/>
      <c r="J37" s="119"/>
      <c r="K37" s="58"/>
      <c r="N37" s="59"/>
      <c r="O37" s="60"/>
      <c r="P37" s="60"/>
      <c r="Q37" s="60"/>
      <c r="R37" s="61"/>
      <c r="S37" s="60"/>
      <c r="T37" s="60"/>
      <c r="U37" s="148"/>
      <c r="V37" s="60"/>
      <c r="W37" s="62"/>
      <c r="Y37" s="134"/>
      <c r="AD37" s="148"/>
    </row>
    <row r="38" spans="1:37" s="29" customFormat="1" ht="15">
      <c r="A38" s="56"/>
      <c r="I38" s="57"/>
      <c r="J38" s="153"/>
      <c r="K38" s="144"/>
      <c r="L38" s="145"/>
      <c r="M38" s="146"/>
      <c r="N38" s="146"/>
      <c r="O38" s="147"/>
      <c r="P38" s="147"/>
      <c r="Q38" s="147"/>
      <c r="R38" s="147"/>
      <c r="S38" s="147"/>
      <c r="T38" s="144"/>
      <c r="U38" s="148"/>
      <c r="V38" s="149"/>
      <c r="W38" s="150"/>
      <c r="X38" s="151"/>
      <c r="Y38" s="152"/>
      <c r="Z38" s="151"/>
      <c r="AA38" s="149"/>
      <c r="AB38" s="150"/>
      <c r="AC38" s="144"/>
      <c r="AD38" s="148"/>
      <c r="AE38" s="147"/>
      <c r="AF38" s="147"/>
      <c r="AG38" s="147"/>
      <c r="AH38" s="147"/>
      <c r="AI38" s="147"/>
      <c r="AJ38" s="147"/>
      <c r="AK38" s="147"/>
    </row>
    <row r="39" spans="1:30" s="29" customFormat="1" ht="15">
      <c r="A39" s="56"/>
      <c r="I39" s="57"/>
      <c r="J39" s="119"/>
      <c r="K39" s="58"/>
      <c r="N39" s="59"/>
      <c r="O39" s="60"/>
      <c r="P39" s="60"/>
      <c r="Q39" s="60"/>
      <c r="R39" s="61"/>
      <c r="S39" s="60"/>
      <c r="T39" s="60"/>
      <c r="U39" s="148"/>
      <c r="V39" s="60"/>
      <c r="W39" s="62"/>
      <c r="Y39" s="134"/>
      <c r="AD39" s="148"/>
    </row>
    <row r="40" spans="1:30" s="29" customFormat="1" ht="15">
      <c r="A40" s="56"/>
      <c r="I40" s="57"/>
      <c r="J40" s="119"/>
      <c r="K40" s="58"/>
      <c r="N40" s="59"/>
      <c r="O40" s="60"/>
      <c r="P40" s="60"/>
      <c r="Q40" s="60"/>
      <c r="R40" s="61"/>
      <c r="S40" s="60"/>
      <c r="T40" s="60"/>
      <c r="U40" s="148"/>
      <c r="V40" s="60"/>
      <c r="W40" s="62"/>
      <c r="Y40" s="134"/>
      <c r="AD40" s="148"/>
    </row>
    <row r="41" spans="1:37" s="29" customFormat="1" ht="15">
      <c r="A41" s="56"/>
      <c r="I41" s="57"/>
      <c r="J41" s="153"/>
      <c r="K41" s="144"/>
      <c r="L41" s="145"/>
      <c r="M41" s="146"/>
      <c r="N41" s="146"/>
      <c r="O41" s="147"/>
      <c r="P41" s="147"/>
      <c r="Q41" s="147"/>
      <c r="R41" s="147"/>
      <c r="S41" s="147"/>
      <c r="T41" s="144"/>
      <c r="U41" s="148"/>
      <c r="V41" s="149"/>
      <c r="W41" s="150"/>
      <c r="X41" s="151"/>
      <c r="Y41" s="152"/>
      <c r="Z41" s="151"/>
      <c r="AA41" s="149"/>
      <c r="AB41" s="150"/>
      <c r="AC41" s="144"/>
      <c r="AD41" s="148"/>
      <c r="AE41" s="147"/>
      <c r="AF41" s="147"/>
      <c r="AG41" s="147"/>
      <c r="AH41" s="147"/>
      <c r="AI41" s="147"/>
      <c r="AJ41" s="147"/>
      <c r="AK41" s="147"/>
    </row>
    <row r="42" spans="1:30" s="29" customFormat="1" ht="15">
      <c r="A42" s="56"/>
      <c r="I42" s="57"/>
      <c r="J42" s="119"/>
      <c r="K42" s="58"/>
      <c r="N42" s="59"/>
      <c r="O42" s="60"/>
      <c r="P42" s="60"/>
      <c r="Q42" s="60"/>
      <c r="R42" s="61"/>
      <c r="S42" s="60"/>
      <c r="T42" s="60"/>
      <c r="U42" s="148"/>
      <c r="V42" s="60"/>
      <c r="W42" s="62"/>
      <c r="Y42" s="134"/>
      <c r="AD42" s="148"/>
    </row>
    <row r="43" spans="1:37" s="29" customFormat="1" ht="15">
      <c r="A43" s="56"/>
      <c r="I43" s="57"/>
      <c r="J43" s="153"/>
      <c r="K43" s="144"/>
      <c r="L43" s="145"/>
      <c r="M43" s="146"/>
      <c r="N43" s="146"/>
      <c r="O43" s="147"/>
      <c r="P43" s="147"/>
      <c r="Q43" s="147"/>
      <c r="R43" s="147"/>
      <c r="S43" s="147"/>
      <c r="T43" s="144"/>
      <c r="U43" s="148"/>
      <c r="V43" s="149"/>
      <c r="W43" s="150"/>
      <c r="X43" s="151"/>
      <c r="Y43" s="152"/>
      <c r="Z43" s="151"/>
      <c r="AA43" s="149"/>
      <c r="AB43" s="150"/>
      <c r="AC43" s="144"/>
      <c r="AD43" s="148"/>
      <c r="AE43" s="147"/>
      <c r="AF43" s="147"/>
      <c r="AG43" s="147"/>
      <c r="AH43" s="147"/>
      <c r="AI43" s="147"/>
      <c r="AJ43" s="147"/>
      <c r="AK43" s="147"/>
    </row>
    <row r="44" spans="1:30" s="29" customFormat="1" ht="15">
      <c r="A44" s="56"/>
      <c r="I44" s="57"/>
      <c r="K44" s="58"/>
      <c r="N44" s="59"/>
      <c r="O44" s="60"/>
      <c r="P44" s="60"/>
      <c r="Q44" s="60"/>
      <c r="R44" s="61"/>
      <c r="S44" s="60"/>
      <c r="T44" s="60"/>
      <c r="U44" s="148"/>
      <c r="V44" s="60"/>
      <c r="W44" s="62"/>
      <c r="Y44" s="134"/>
      <c r="AB44" s="63"/>
      <c r="AC44" s="63"/>
      <c r="AD44" s="148"/>
    </row>
    <row r="45" spans="1:30" s="29" customFormat="1" ht="15">
      <c r="A45" s="64"/>
      <c r="C45" s="63"/>
      <c r="F45" s="63"/>
      <c r="I45" s="57"/>
      <c r="K45" s="58"/>
      <c r="N45" s="59"/>
      <c r="O45" s="60"/>
      <c r="P45" s="60"/>
      <c r="Q45" s="60"/>
      <c r="R45" s="61"/>
      <c r="S45" s="60"/>
      <c r="T45" s="60"/>
      <c r="U45" s="148"/>
      <c r="V45" s="60"/>
      <c r="W45" s="62"/>
      <c r="Y45" s="134"/>
      <c r="AD45" s="148"/>
    </row>
    <row r="46" spans="1:37" s="29" customFormat="1" ht="15">
      <c r="A46" s="64"/>
      <c r="C46" s="63"/>
      <c r="F46" s="63"/>
      <c r="I46" s="57"/>
      <c r="J46" s="63"/>
      <c r="K46" s="144"/>
      <c r="L46" s="145"/>
      <c r="M46" s="146"/>
      <c r="N46" s="146"/>
      <c r="O46" s="147"/>
      <c r="P46" s="147"/>
      <c r="Q46" s="147"/>
      <c r="R46" s="147"/>
      <c r="S46" s="147"/>
      <c r="T46" s="144"/>
      <c r="U46" s="148"/>
      <c r="V46" s="149"/>
      <c r="W46" s="150"/>
      <c r="X46" s="151"/>
      <c r="Y46" s="152"/>
      <c r="Z46" s="151"/>
      <c r="AA46" s="149"/>
      <c r="AB46" s="150"/>
      <c r="AC46" s="144"/>
      <c r="AD46" s="148"/>
      <c r="AE46" s="147"/>
      <c r="AF46" s="147"/>
      <c r="AG46" s="147"/>
      <c r="AH46" s="147"/>
      <c r="AI46" s="147"/>
      <c r="AJ46" s="147"/>
      <c r="AK46" s="147"/>
    </row>
    <row r="47" spans="1:30" s="29" customFormat="1" ht="15">
      <c r="A47" s="64"/>
      <c r="C47" s="63"/>
      <c r="F47" s="63"/>
      <c r="I47" s="57"/>
      <c r="K47" s="58"/>
      <c r="N47" s="59"/>
      <c r="O47" s="60"/>
      <c r="P47" s="60"/>
      <c r="Q47" s="60"/>
      <c r="R47" s="61"/>
      <c r="S47" s="60"/>
      <c r="T47" s="60"/>
      <c r="U47" s="148"/>
      <c r="V47" s="60"/>
      <c r="W47" s="62"/>
      <c r="Y47" s="134"/>
      <c r="AD47" s="148"/>
    </row>
    <row r="48" spans="1:37" s="29" customFormat="1" ht="15">
      <c r="A48" s="64"/>
      <c r="C48" s="63"/>
      <c r="F48" s="63"/>
      <c r="I48" s="57"/>
      <c r="J48" s="63"/>
      <c r="K48" s="144"/>
      <c r="L48" s="145"/>
      <c r="M48" s="146"/>
      <c r="N48" s="146"/>
      <c r="O48" s="147"/>
      <c r="P48" s="147"/>
      <c r="Q48" s="147"/>
      <c r="R48" s="147"/>
      <c r="S48" s="147"/>
      <c r="T48" s="144"/>
      <c r="U48" s="148"/>
      <c r="V48" s="149"/>
      <c r="W48" s="150"/>
      <c r="X48" s="151"/>
      <c r="Y48" s="152"/>
      <c r="Z48" s="151"/>
      <c r="AA48" s="149"/>
      <c r="AB48" s="150"/>
      <c r="AC48" s="144"/>
      <c r="AD48" s="148"/>
      <c r="AE48" s="147"/>
      <c r="AF48" s="147"/>
      <c r="AG48" s="147"/>
      <c r="AH48" s="147"/>
      <c r="AI48" s="147"/>
      <c r="AJ48" s="147"/>
      <c r="AK48" s="147"/>
    </row>
    <row r="49" spans="1:30" s="29" customFormat="1" ht="15">
      <c r="A49" s="64"/>
      <c r="C49" s="63"/>
      <c r="F49" s="63"/>
      <c r="I49" s="57"/>
      <c r="K49" s="58"/>
      <c r="N49" s="59"/>
      <c r="O49" s="60"/>
      <c r="P49" s="60"/>
      <c r="Q49" s="60"/>
      <c r="R49" s="61"/>
      <c r="S49" s="60"/>
      <c r="T49" s="60"/>
      <c r="U49" s="148"/>
      <c r="V49" s="60"/>
      <c r="W49" s="62"/>
      <c r="Y49" s="134"/>
      <c r="AD49" s="148"/>
    </row>
    <row r="50" spans="1:37" s="63" customFormat="1" ht="15">
      <c r="A50" s="64"/>
      <c r="B50" s="29"/>
      <c r="D50" s="29"/>
      <c r="E50" s="29"/>
      <c r="G50" s="29"/>
      <c r="H50" s="29"/>
      <c r="I50" s="57"/>
      <c r="J50" s="29"/>
      <c r="K50" s="58"/>
      <c r="L50" s="29"/>
      <c r="M50" s="29"/>
      <c r="N50" s="59"/>
      <c r="O50" s="60"/>
      <c r="P50" s="60"/>
      <c r="Q50" s="60"/>
      <c r="R50" s="61"/>
      <c r="S50" s="60"/>
      <c r="T50" s="60"/>
      <c r="U50" s="148"/>
      <c r="V50" s="60"/>
      <c r="W50" s="62"/>
      <c r="X50" s="29"/>
      <c r="Y50" s="134"/>
      <c r="Z50" s="29"/>
      <c r="AA50" s="29"/>
      <c r="AD50" s="148"/>
      <c r="AE50" s="29"/>
      <c r="AF50" s="29"/>
      <c r="AG50" s="29"/>
      <c r="AH50" s="29"/>
      <c r="AI50" s="29"/>
      <c r="AJ50" s="29"/>
      <c r="AK50" s="29"/>
    </row>
    <row r="51" spans="1:37" s="29" customFormat="1" ht="15">
      <c r="A51" s="64"/>
      <c r="C51" s="63"/>
      <c r="F51" s="63"/>
      <c r="I51" s="57"/>
      <c r="J51" s="63"/>
      <c r="K51" s="144"/>
      <c r="L51" s="145"/>
      <c r="M51" s="146"/>
      <c r="N51" s="146"/>
      <c r="O51" s="147"/>
      <c r="P51" s="147"/>
      <c r="Q51" s="147"/>
      <c r="R51" s="147"/>
      <c r="S51" s="147"/>
      <c r="T51" s="144"/>
      <c r="U51" s="148"/>
      <c r="V51" s="149"/>
      <c r="W51" s="150"/>
      <c r="X51" s="151"/>
      <c r="Y51" s="152"/>
      <c r="Z51" s="151"/>
      <c r="AA51" s="149"/>
      <c r="AB51" s="150"/>
      <c r="AC51" s="144"/>
      <c r="AD51" s="148"/>
      <c r="AE51" s="147"/>
      <c r="AF51" s="147"/>
      <c r="AG51" s="147"/>
      <c r="AH51" s="147"/>
      <c r="AI51" s="147"/>
      <c r="AJ51" s="147"/>
      <c r="AK51" s="147"/>
    </row>
    <row r="52" spans="9:51" ht="15">
      <c r="I52" s="57"/>
      <c r="J52" s="29"/>
      <c r="K52" s="58"/>
      <c r="L52" s="29"/>
      <c r="M52" s="29"/>
      <c r="N52" s="59"/>
      <c r="O52" s="60"/>
      <c r="P52" s="60"/>
      <c r="Q52" s="60"/>
      <c r="R52" s="61"/>
      <c r="S52" s="60"/>
      <c r="T52" s="60"/>
      <c r="U52" s="148"/>
      <c r="V52" s="60"/>
      <c r="W52" s="62"/>
      <c r="X52" s="29"/>
      <c r="Y52" s="134"/>
      <c r="Z52" s="29"/>
      <c r="AA52" s="29"/>
      <c r="AB52" s="29"/>
      <c r="AC52" s="29"/>
      <c r="AD52" s="148"/>
      <c r="AE52" s="29"/>
      <c r="AF52" s="29"/>
      <c r="AG52" s="29"/>
      <c r="AH52" s="29"/>
      <c r="AI52" s="29"/>
      <c r="AJ52" s="29"/>
      <c r="AK52" s="29"/>
      <c r="AL52" s="29"/>
      <c r="AY52" s="7"/>
    </row>
    <row r="53" spans="9:51" ht="15.75" thickBot="1">
      <c r="I53" s="57"/>
      <c r="J53" s="63"/>
      <c r="K53" s="144"/>
      <c r="L53" s="145"/>
      <c r="M53" s="146"/>
      <c r="N53" s="146"/>
      <c r="O53" s="147"/>
      <c r="P53" s="147"/>
      <c r="Q53" s="147"/>
      <c r="R53" s="147"/>
      <c r="S53" s="147"/>
      <c r="T53" s="144"/>
      <c r="U53" s="148"/>
      <c r="V53" s="149"/>
      <c r="W53" s="150"/>
      <c r="X53" s="151"/>
      <c r="Y53" s="154"/>
      <c r="Z53" s="151"/>
      <c r="AA53" s="149"/>
      <c r="AB53" s="150"/>
      <c r="AC53" s="144"/>
      <c r="AD53" s="148"/>
      <c r="AE53" s="147"/>
      <c r="AF53" s="147"/>
      <c r="AG53" s="147"/>
      <c r="AH53" s="147"/>
      <c r="AI53" s="147"/>
      <c r="AJ53" s="147"/>
      <c r="AK53" s="147"/>
      <c r="AL53" s="29"/>
      <c r="AY53" s="7"/>
    </row>
    <row r="54" spans="9:51" ht="15">
      <c r="I54" s="57"/>
      <c r="J54" s="29"/>
      <c r="K54" s="58"/>
      <c r="L54" s="29"/>
      <c r="M54" s="29"/>
      <c r="N54" s="29"/>
      <c r="O54" s="60"/>
      <c r="P54" s="60"/>
      <c r="Q54" s="60"/>
      <c r="R54" s="61"/>
      <c r="S54" s="60"/>
      <c r="T54" s="60"/>
      <c r="U54" s="60"/>
      <c r="V54" s="60"/>
      <c r="W54" s="62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Y54" s="7"/>
    </row>
    <row r="55" spans="9:51" ht="15">
      <c r="I55" s="57"/>
      <c r="J55" s="29"/>
      <c r="K55" s="58"/>
      <c r="L55" s="29"/>
      <c r="M55" s="29"/>
      <c r="N55" s="29"/>
      <c r="O55" s="60"/>
      <c r="P55" s="60"/>
      <c r="Q55" s="60"/>
      <c r="R55" s="61"/>
      <c r="S55" s="60"/>
      <c r="T55" s="60"/>
      <c r="U55" s="60"/>
      <c r="V55" s="60"/>
      <c r="W55" s="62"/>
      <c r="X55" s="29"/>
      <c r="Y55" s="29"/>
      <c r="Z55" s="29"/>
      <c r="AA55" s="29"/>
      <c r="AB55" s="63"/>
      <c r="AC55" s="63"/>
      <c r="AD55" s="63"/>
      <c r="AE55" s="29"/>
      <c r="AF55" s="29"/>
      <c r="AG55" s="29"/>
      <c r="AH55" s="29"/>
      <c r="AI55" s="29"/>
      <c r="AJ55" s="29"/>
      <c r="AK55" s="29"/>
      <c r="AL55" s="29"/>
      <c r="AY55" s="7"/>
    </row>
    <row r="56" spans="9:51" ht="15">
      <c r="I56" s="57"/>
      <c r="J56" s="29"/>
      <c r="K56" s="58"/>
      <c r="L56" s="29"/>
      <c r="M56" s="29"/>
      <c r="N56" s="29"/>
      <c r="O56" s="60"/>
      <c r="P56" s="60"/>
      <c r="Q56" s="60"/>
      <c r="R56" s="61"/>
      <c r="S56" s="60"/>
      <c r="T56" s="60"/>
      <c r="U56" s="60"/>
      <c r="V56" s="60"/>
      <c r="W56" s="62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Y56" s="7"/>
    </row>
    <row r="57" spans="9:51" ht="15">
      <c r="I57" s="57"/>
      <c r="J57" s="29"/>
      <c r="K57" s="58"/>
      <c r="L57" s="29"/>
      <c r="M57" s="29"/>
      <c r="N57" s="29"/>
      <c r="O57" s="60"/>
      <c r="P57" s="60"/>
      <c r="Q57" s="60"/>
      <c r="R57" s="61"/>
      <c r="S57" s="60"/>
      <c r="T57" s="60"/>
      <c r="U57" s="60"/>
      <c r="V57" s="60"/>
      <c r="W57" s="62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Y57" s="7"/>
    </row>
    <row r="58" spans="9:51" ht="15">
      <c r="I58" s="57"/>
      <c r="J58" s="29"/>
      <c r="K58" s="58"/>
      <c r="L58" s="29"/>
      <c r="M58" s="29"/>
      <c r="N58" s="29"/>
      <c r="O58" s="60"/>
      <c r="P58" s="60"/>
      <c r="Q58" s="60"/>
      <c r="R58" s="61"/>
      <c r="S58" s="60"/>
      <c r="T58" s="60"/>
      <c r="U58" s="60"/>
      <c r="V58" s="60"/>
      <c r="W58" s="62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Y58" s="7"/>
    </row>
    <row r="59" spans="2:38" s="9" customFormat="1" ht="15">
      <c r="B59" s="65"/>
      <c r="C59" s="65"/>
      <c r="I59" s="157"/>
      <c r="J59" s="63"/>
      <c r="K59" s="58"/>
      <c r="L59" s="63"/>
      <c r="M59" s="63"/>
      <c r="N59" s="63"/>
      <c r="O59" s="60"/>
      <c r="P59" s="60"/>
      <c r="Q59" s="60"/>
      <c r="R59" s="61"/>
      <c r="S59" s="60"/>
      <c r="T59" s="60"/>
      <c r="U59" s="60"/>
      <c r="V59" s="60"/>
      <c r="W59" s="62"/>
      <c r="X59" s="63"/>
      <c r="Y59" s="63"/>
      <c r="Z59" s="63"/>
      <c r="AA59" s="63"/>
      <c r="AB59" s="29"/>
      <c r="AC59" s="29"/>
      <c r="AD59" s="29"/>
      <c r="AE59" s="63"/>
      <c r="AF59" s="63"/>
      <c r="AG59" s="63"/>
      <c r="AH59" s="63"/>
      <c r="AI59" s="63"/>
      <c r="AJ59" s="63"/>
      <c r="AK59" s="63"/>
      <c r="AL59" s="63"/>
    </row>
    <row r="60" spans="9:51" ht="15">
      <c r="I60" s="57"/>
      <c r="J60" s="29"/>
      <c r="K60" s="58"/>
      <c r="L60" s="29"/>
      <c r="M60" s="29"/>
      <c r="N60" s="29"/>
      <c r="O60" s="60"/>
      <c r="P60" s="60"/>
      <c r="Q60" s="60"/>
      <c r="R60" s="61"/>
      <c r="S60" s="60"/>
      <c r="T60" s="60"/>
      <c r="U60" s="60"/>
      <c r="V60" s="60"/>
      <c r="W60" s="62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Y60" s="7"/>
    </row>
    <row r="61" spans="9:51" ht="15">
      <c r="I61" s="57"/>
      <c r="J61" s="29"/>
      <c r="K61" s="29"/>
      <c r="L61" s="29"/>
      <c r="M61" s="29"/>
      <c r="N61" s="29"/>
      <c r="O61" s="29"/>
      <c r="P61" s="29"/>
      <c r="Q61" s="29"/>
      <c r="R61" s="158"/>
      <c r="S61" s="29"/>
      <c r="T61" s="29"/>
      <c r="U61" s="29"/>
      <c r="V61" s="29"/>
      <c r="W61" s="15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Y61" s="7"/>
    </row>
    <row r="62" spans="9:51" ht="15">
      <c r="I62" s="57"/>
      <c r="J62" s="29"/>
      <c r="K62" s="29"/>
      <c r="L62" s="29"/>
      <c r="M62" s="29"/>
      <c r="N62" s="29"/>
      <c r="O62" s="29"/>
      <c r="P62" s="29"/>
      <c r="Q62" s="29"/>
      <c r="R62" s="158"/>
      <c r="S62" s="29"/>
      <c r="T62" s="29"/>
      <c r="U62" s="29"/>
      <c r="V62" s="29"/>
      <c r="W62" s="15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Y62" s="7"/>
    </row>
    <row r="63" spans="9:51" ht="15">
      <c r="I63" s="57"/>
      <c r="J63" s="29"/>
      <c r="K63" s="29"/>
      <c r="L63" s="29"/>
      <c r="M63" s="29"/>
      <c r="N63" s="29"/>
      <c r="O63" s="29"/>
      <c r="P63" s="29"/>
      <c r="Q63" s="29"/>
      <c r="R63" s="158"/>
      <c r="S63" s="29"/>
      <c r="T63" s="29"/>
      <c r="U63" s="29"/>
      <c r="V63" s="29"/>
      <c r="W63" s="15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Y63" s="7"/>
    </row>
    <row r="64" spans="9:51" ht="15">
      <c r="I64" s="57"/>
      <c r="J64" s="29"/>
      <c r="K64" s="29"/>
      <c r="L64" s="29"/>
      <c r="M64" s="29"/>
      <c r="N64" s="29"/>
      <c r="O64" s="29"/>
      <c r="P64" s="29"/>
      <c r="Q64" s="29"/>
      <c r="R64" s="158"/>
      <c r="S64" s="29"/>
      <c r="T64" s="29"/>
      <c r="U64" s="29"/>
      <c r="V64" s="29"/>
      <c r="W64" s="15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Y64" s="7"/>
    </row>
    <row r="65" spans="9:51" ht="15">
      <c r="I65" s="57"/>
      <c r="J65" s="29"/>
      <c r="K65" s="29"/>
      <c r="L65" s="29"/>
      <c r="M65" s="29"/>
      <c r="N65" s="29"/>
      <c r="O65" s="29"/>
      <c r="P65" s="29"/>
      <c r="Q65" s="29"/>
      <c r="R65" s="158"/>
      <c r="S65" s="29"/>
      <c r="T65" s="29"/>
      <c r="U65" s="29"/>
      <c r="V65" s="29"/>
      <c r="W65" s="15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Y65" s="7"/>
    </row>
    <row r="66" spans="9:51" ht="15">
      <c r="I66" s="57"/>
      <c r="J66" s="29"/>
      <c r="K66" s="29"/>
      <c r="L66" s="29"/>
      <c r="M66" s="29"/>
      <c r="N66" s="29"/>
      <c r="O66" s="29"/>
      <c r="P66" s="29"/>
      <c r="Q66" s="29"/>
      <c r="R66" s="158"/>
      <c r="S66" s="29"/>
      <c r="T66" s="29"/>
      <c r="U66" s="29"/>
      <c r="V66" s="29"/>
      <c r="W66" s="15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Y66" s="7"/>
    </row>
    <row r="67" spans="13:51" ht="15">
      <c r="M67" s="7"/>
      <c r="N67" s="7"/>
      <c r="AE67" s="7"/>
      <c r="AF67" s="7"/>
      <c r="AG67" s="7"/>
      <c r="AH67" s="7"/>
      <c r="AY67" s="7"/>
    </row>
    <row r="68" spans="13:51" ht="15">
      <c r="M68" s="7"/>
      <c r="N68" s="7"/>
      <c r="AE68" s="7"/>
      <c r="AF68" s="7"/>
      <c r="AG68" s="7"/>
      <c r="AH68" s="7"/>
      <c r="AY68" s="7"/>
    </row>
    <row r="69" spans="13:51" ht="15">
      <c r="M69" s="7"/>
      <c r="N69" s="7"/>
      <c r="AE69" s="7"/>
      <c r="AF69" s="7"/>
      <c r="AG69" s="7"/>
      <c r="AH69" s="7"/>
      <c r="AY69" s="7"/>
    </row>
    <row r="70" spans="13:51" ht="15">
      <c r="M70" s="7"/>
      <c r="N70" s="7"/>
      <c r="AE70" s="7"/>
      <c r="AF70" s="7"/>
      <c r="AG70" s="7"/>
      <c r="AH70" s="7"/>
      <c r="AY70" s="7"/>
    </row>
    <row r="71" spans="13:51" ht="15">
      <c r="M71" s="7"/>
      <c r="N71" s="7"/>
      <c r="AE71" s="7"/>
      <c r="AF71" s="7"/>
      <c r="AG71" s="7"/>
      <c r="AH71" s="7"/>
      <c r="AY71" s="7"/>
    </row>
    <row r="72" spans="13:51" ht="15">
      <c r="M72" s="7"/>
      <c r="N72" s="7"/>
      <c r="AE72" s="7"/>
      <c r="AF72" s="7"/>
      <c r="AG72" s="7"/>
      <c r="AH72" s="7"/>
      <c r="AY72" s="7"/>
    </row>
    <row r="73" spans="13:51" ht="15">
      <c r="M73" s="7"/>
      <c r="N73" s="7"/>
      <c r="AE73" s="7"/>
      <c r="AF73" s="7"/>
      <c r="AG73" s="7"/>
      <c r="AH73" s="7"/>
      <c r="AY73" s="7"/>
    </row>
    <row r="74" spans="13:51" ht="15">
      <c r="M74" s="7"/>
      <c r="N74" s="7"/>
      <c r="AE74" s="7"/>
      <c r="AF74" s="7"/>
      <c r="AG74" s="7"/>
      <c r="AH74" s="7"/>
      <c r="AY74" s="7"/>
    </row>
    <row r="75" spans="13:51" ht="15">
      <c r="M75" s="7"/>
      <c r="N75" s="7"/>
      <c r="AE75" s="7"/>
      <c r="AF75" s="7"/>
      <c r="AG75" s="7"/>
      <c r="AH75" s="7"/>
      <c r="AY75" s="7"/>
    </row>
    <row r="76" spans="13:51" ht="15">
      <c r="M76" s="7"/>
      <c r="N76" s="7"/>
      <c r="AE76" s="7"/>
      <c r="AF76" s="7"/>
      <c r="AG76" s="7"/>
      <c r="AH76" s="7"/>
      <c r="AY76" s="7"/>
    </row>
    <row r="77" spans="13:51" ht="15">
      <c r="M77" s="7"/>
      <c r="N77" s="7"/>
      <c r="AE77" s="7"/>
      <c r="AF77" s="7"/>
      <c r="AG77" s="7"/>
      <c r="AH77" s="7"/>
      <c r="AY77" s="7"/>
    </row>
    <row r="78" spans="13:51" ht="15">
      <c r="M78" s="7"/>
      <c r="N78" s="7"/>
      <c r="AE78" s="7"/>
      <c r="AF78" s="7"/>
      <c r="AG78" s="7"/>
      <c r="AH78" s="7"/>
      <c r="AY78" s="7"/>
    </row>
    <row r="79" spans="13:51" ht="15">
      <c r="M79" s="7"/>
      <c r="N79" s="7"/>
      <c r="AE79" s="7"/>
      <c r="AF79" s="7"/>
      <c r="AG79" s="7"/>
      <c r="AH79" s="7"/>
      <c r="AY79" s="7"/>
    </row>
  </sheetData>
  <mergeCells count="16">
    <mergeCell ref="A1:I1"/>
    <mergeCell ref="A2:I2"/>
    <mergeCell ref="A3:I3"/>
    <mergeCell ref="H6:I6"/>
    <mergeCell ref="H8:I8"/>
    <mergeCell ref="AT10:AW10"/>
    <mergeCell ref="V8:AC8"/>
    <mergeCell ref="AE8:AH8"/>
    <mergeCell ref="AJ8:AJ9"/>
    <mergeCell ref="A9:N9"/>
    <mergeCell ref="O9:S9"/>
    <mergeCell ref="V9:W9"/>
    <mergeCell ref="AA9:AC9"/>
    <mergeCell ref="AE9:AG9"/>
    <mergeCell ref="AH9:AI9"/>
    <mergeCell ref="O8:T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 topLeftCell="A1">
      <selection activeCell="G20" sqref="G20"/>
    </sheetView>
  </sheetViews>
  <sheetFormatPr defaultColWidth="8.8515625" defaultRowHeight="15"/>
  <cols>
    <col min="1" max="1" width="33.28125" style="0" customWidth="1"/>
    <col min="2" max="2" width="37.57421875" style="0" bestFit="1" customWidth="1"/>
    <col min="3" max="3" width="24.28125" style="0" customWidth="1"/>
    <col min="4" max="4" width="14.7109375" style="0" bestFit="1" customWidth="1"/>
    <col min="5" max="5" width="14.7109375" style="0" customWidth="1"/>
    <col min="6" max="6" width="59.7109375" style="0" bestFit="1" customWidth="1"/>
    <col min="7" max="7" width="20.00390625" style="0" bestFit="1" customWidth="1"/>
    <col min="9" max="9" width="29.00390625" style="0" bestFit="1" customWidth="1"/>
  </cols>
  <sheetData>
    <row r="1" spans="1:9" ht="15.75" thickBot="1">
      <c r="A1" s="84" t="s">
        <v>15</v>
      </c>
      <c r="B1" s="84"/>
      <c r="C1" s="84" t="s">
        <v>102</v>
      </c>
      <c r="D1" s="84" t="s">
        <v>72</v>
      </c>
      <c r="E1" s="107" t="s">
        <v>85</v>
      </c>
      <c r="F1" s="84" t="s">
        <v>106</v>
      </c>
      <c r="G1" s="106" t="s">
        <v>103</v>
      </c>
      <c r="H1" s="34">
        <v>0.3098</v>
      </c>
      <c r="I1" s="35" t="s">
        <v>55</v>
      </c>
    </row>
    <row r="2" spans="1:9" ht="15">
      <c r="A2" s="77" t="s">
        <v>89</v>
      </c>
      <c r="B2" s="77" t="s">
        <v>144</v>
      </c>
      <c r="C2" s="160">
        <v>15000</v>
      </c>
      <c r="D2" s="169">
        <v>1</v>
      </c>
      <c r="E2" s="170" t="s">
        <v>48</v>
      </c>
      <c r="F2" s="167">
        <v>5000</v>
      </c>
      <c r="G2" s="102" t="s">
        <v>103</v>
      </c>
      <c r="H2" s="38">
        <v>0.0595</v>
      </c>
      <c r="I2" s="39" t="s">
        <v>57</v>
      </c>
    </row>
    <row r="3" spans="1:9" ht="15">
      <c r="A3" s="77" t="s">
        <v>91</v>
      </c>
      <c r="B3" s="77" t="s">
        <v>145</v>
      </c>
      <c r="C3" s="79">
        <v>15000</v>
      </c>
      <c r="D3" s="163">
        <v>1</v>
      </c>
      <c r="E3" s="171" t="s">
        <v>48</v>
      </c>
      <c r="F3" s="165">
        <v>5000</v>
      </c>
      <c r="G3" s="102" t="s">
        <v>103</v>
      </c>
      <c r="H3" s="38">
        <v>0.0574</v>
      </c>
      <c r="I3" s="39" t="s">
        <v>59</v>
      </c>
    </row>
    <row r="4" spans="1:9" ht="15">
      <c r="A4" s="77"/>
      <c r="B4" s="77"/>
      <c r="C4" s="79"/>
      <c r="D4" s="163"/>
      <c r="E4" s="171"/>
      <c r="F4" s="165"/>
      <c r="G4" s="102" t="s">
        <v>103</v>
      </c>
      <c r="H4" s="38">
        <v>0.0038</v>
      </c>
      <c r="I4" s="39" t="s">
        <v>61</v>
      </c>
    </row>
    <row r="5" spans="1:9" ht="15">
      <c r="A5" s="77" t="s">
        <v>186</v>
      </c>
      <c r="B5" s="77" t="s">
        <v>147</v>
      </c>
      <c r="C5" s="80">
        <v>50000</v>
      </c>
      <c r="D5" s="163">
        <v>1</v>
      </c>
      <c r="E5" s="171" t="s">
        <v>47</v>
      </c>
      <c r="F5" s="166">
        <v>0.04</v>
      </c>
      <c r="G5" s="102" t="s">
        <v>103</v>
      </c>
      <c r="H5" s="38">
        <v>0.0574</v>
      </c>
      <c r="I5" s="39" t="s">
        <v>62</v>
      </c>
    </row>
    <row r="6" spans="1:9" ht="30">
      <c r="A6" s="77" t="s">
        <v>186</v>
      </c>
      <c r="B6" s="179" t="s">
        <v>148</v>
      </c>
      <c r="C6" s="80">
        <v>50000</v>
      </c>
      <c r="D6" s="163">
        <v>1</v>
      </c>
      <c r="E6" s="171" t="s">
        <v>47</v>
      </c>
      <c r="F6" s="166">
        <v>0.04</v>
      </c>
      <c r="G6" s="102" t="s">
        <v>103</v>
      </c>
      <c r="H6" s="38">
        <v>0.1619</v>
      </c>
      <c r="I6" s="39" t="s">
        <v>63</v>
      </c>
    </row>
    <row r="7" spans="1:9" ht="15">
      <c r="A7" s="77" t="s">
        <v>186</v>
      </c>
      <c r="B7" s="77" t="s">
        <v>153</v>
      </c>
      <c r="C7" s="80">
        <v>50000</v>
      </c>
      <c r="D7" s="163">
        <v>1</v>
      </c>
      <c r="E7" s="171" t="s">
        <v>75</v>
      </c>
      <c r="F7" s="166">
        <v>0.025</v>
      </c>
      <c r="G7" s="102" t="s">
        <v>103</v>
      </c>
      <c r="H7" s="174">
        <v>246.12</v>
      </c>
      <c r="I7" s="45" t="s">
        <v>64</v>
      </c>
    </row>
    <row r="8" spans="1:9" ht="15.75" thickBot="1">
      <c r="A8" s="77" t="s">
        <v>186</v>
      </c>
      <c r="B8" s="77" t="s">
        <v>149</v>
      </c>
      <c r="C8" s="80">
        <v>50000</v>
      </c>
      <c r="D8" s="163">
        <v>1</v>
      </c>
      <c r="E8" s="172" t="s">
        <v>51</v>
      </c>
      <c r="F8" s="166">
        <v>0.025</v>
      </c>
      <c r="G8" s="103" t="s">
        <v>103</v>
      </c>
      <c r="H8" s="175">
        <v>420.19</v>
      </c>
      <c r="I8" s="48" t="s">
        <v>65</v>
      </c>
    </row>
    <row r="9" spans="1:9" ht="15">
      <c r="A9" s="77" t="s">
        <v>186</v>
      </c>
      <c r="B9" s="77" t="s">
        <v>150</v>
      </c>
      <c r="C9" s="80">
        <v>50000</v>
      </c>
      <c r="D9" s="163">
        <v>1</v>
      </c>
      <c r="E9" s="171" t="s">
        <v>75</v>
      </c>
      <c r="F9" s="166">
        <v>0.025</v>
      </c>
      <c r="I9" s="104"/>
    </row>
    <row r="10" spans="1:9" ht="15">
      <c r="A10" s="77" t="s">
        <v>186</v>
      </c>
      <c r="B10" s="77" t="s">
        <v>151</v>
      </c>
      <c r="C10" s="80">
        <v>50000</v>
      </c>
      <c r="D10" s="163">
        <v>1</v>
      </c>
      <c r="E10" s="172" t="s">
        <v>51</v>
      </c>
      <c r="F10" s="166">
        <v>0.025</v>
      </c>
      <c r="I10" s="104"/>
    </row>
    <row r="11" spans="1:9" ht="15.75" thickBot="1">
      <c r="A11" s="78" t="s">
        <v>186</v>
      </c>
      <c r="B11" s="78" t="s">
        <v>154</v>
      </c>
      <c r="C11" s="82">
        <v>50000</v>
      </c>
      <c r="D11" s="164">
        <v>1</v>
      </c>
      <c r="E11" s="173" t="s">
        <v>50</v>
      </c>
      <c r="F11" s="168">
        <v>0.025</v>
      </c>
      <c r="I11" s="104"/>
    </row>
    <row r="12" ht="15">
      <c r="I12" s="104"/>
    </row>
    <row r="13" spans="1:6" ht="15">
      <c r="A13" s="104"/>
      <c r="B13" s="104"/>
      <c r="C13" s="105"/>
      <c r="D13" s="104"/>
      <c r="E13" s="104"/>
      <c r="F13" s="104"/>
    </row>
    <row r="14" spans="1:6" s="176" customFormat="1" ht="30" customHeight="1">
      <c r="A14" s="246" t="s">
        <v>156</v>
      </c>
      <c r="B14" s="246"/>
      <c r="C14" s="178"/>
      <c r="D14" s="177"/>
      <c r="E14" s="177"/>
      <c r="F14" s="177"/>
    </row>
    <row r="15" spans="1:6" s="176" customFormat="1" ht="30" customHeight="1">
      <c r="A15" s="180"/>
      <c r="B15" s="180"/>
      <c r="C15" s="178"/>
      <c r="D15" s="177"/>
      <c r="E15" s="177"/>
      <c r="F15" s="177"/>
    </row>
    <row r="16" spans="1:6" ht="15">
      <c r="A16" s="104" t="s">
        <v>155</v>
      </c>
      <c r="B16" s="104"/>
      <c r="C16" s="105"/>
      <c r="D16" s="104"/>
      <c r="E16" s="104"/>
      <c r="F16" s="104"/>
    </row>
    <row r="17" spans="1:4" ht="15">
      <c r="A17" s="104" t="s">
        <v>157</v>
      </c>
      <c r="B17" s="104"/>
      <c r="C17" s="105"/>
      <c r="D17" s="104"/>
    </row>
    <row r="18" spans="1:4" ht="15">
      <c r="A18" s="104" t="s">
        <v>158</v>
      </c>
      <c r="B18" s="104"/>
      <c r="C18" s="105"/>
      <c r="D18" s="104"/>
    </row>
    <row r="19" spans="1:4" ht="15">
      <c r="A19" s="42" t="s">
        <v>60</v>
      </c>
      <c r="B19" s="42"/>
      <c r="C19" s="43"/>
      <c r="D19" s="43"/>
    </row>
    <row r="20" spans="1:20" ht="15.75">
      <c r="A20" s="104"/>
      <c r="B20" s="104"/>
      <c r="C20" s="105"/>
      <c r="D20" s="10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2"/>
      <c r="R20" s="33"/>
      <c r="S20" s="32"/>
      <c r="T20" s="32"/>
    </row>
    <row r="21" spans="5:20" ht="1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.75">
      <c r="A22" s="31" t="s">
        <v>105</v>
      </c>
      <c r="B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"/>
      <c r="Q22" s="1"/>
      <c r="R22" s="33"/>
      <c r="S22" s="1"/>
      <c r="T22" s="1"/>
    </row>
    <row r="23" spans="1:20" ht="15.75">
      <c r="A23" s="31" t="s">
        <v>53</v>
      </c>
      <c r="B23" s="31"/>
      <c r="C23" s="31"/>
      <c r="D23" s="31"/>
      <c r="E23" s="43"/>
      <c r="F23" s="43"/>
      <c r="G23" s="43"/>
      <c r="H23" s="43"/>
      <c r="I23" s="43"/>
      <c r="J23" s="43"/>
      <c r="K23" s="43"/>
      <c r="L23" s="43"/>
      <c r="M23" s="2"/>
      <c r="N23" s="1"/>
      <c r="O23" s="1"/>
      <c r="P23" s="1"/>
      <c r="Q23" s="1"/>
      <c r="R23" s="33"/>
      <c r="S23" s="1"/>
      <c r="T23" s="1"/>
    </row>
    <row r="24" spans="1:4" ht="15">
      <c r="A24" s="31" t="s">
        <v>56</v>
      </c>
      <c r="B24" s="31"/>
      <c r="C24" s="31"/>
      <c r="D24" s="31"/>
    </row>
    <row r="25" spans="1:4" ht="15">
      <c r="A25" s="31" t="s">
        <v>58</v>
      </c>
      <c r="B25" s="31"/>
      <c r="C25" s="31"/>
      <c r="D25" s="31"/>
    </row>
  </sheetData>
  <mergeCells count="1">
    <mergeCell ref="A14:B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 topLeftCell="A1">
      <selection activeCell="D21" sqref="D21"/>
    </sheetView>
  </sheetViews>
  <sheetFormatPr defaultColWidth="8.8515625" defaultRowHeight="15"/>
  <cols>
    <col min="1" max="1" width="22.140625" style="0" customWidth="1"/>
    <col min="2" max="2" width="26.00390625" style="0" bestFit="1" customWidth="1"/>
    <col min="3" max="3" width="16.7109375" style="0" bestFit="1" customWidth="1"/>
    <col min="4" max="4" width="18.7109375" style="0" bestFit="1" customWidth="1"/>
  </cols>
  <sheetData>
    <row r="1" spans="1:2" ht="23.25">
      <c r="A1" s="121" t="s">
        <v>93</v>
      </c>
      <c r="B1" s="122"/>
    </row>
    <row r="2" spans="1:2" ht="23.25">
      <c r="A2" s="121"/>
      <c r="B2" s="122"/>
    </row>
    <row r="3" spans="1:2" ht="15">
      <c r="A3" s="123" t="s">
        <v>104</v>
      </c>
      <c r="B3" s="122"/>
    </row>
    <row r="4" spans="1:2" ht="15">
      <c r="A4" s="123"/>
      <c r="B4" s="122"/>
    </row>
    <row r="5" spans="1:4" ht="15.75" thickBot="1">
      <c r="A5" s="162" t="s">
        <v>94</v>
      </c>
      <c r="B5" s="162" t="s">
        <v>95</v>
      </c>
      <c r="C5" s="162" t="s">
        <v>107</v>
      </c>
      <c r="D5" s="162" t="s">
        <v>160</v>
      </c>
    </row>
    <row r="6" spans="1:3" ht="15">
      <c r="A6" s="183" t="s">
        <v>109</v>
      </c>
      <c r="B6" s="161" t="s">
        <v>110</v>
      </c>
      <c r="C6" t="s">
        <v>111</v>
      </c>
    </row>
    <row r="7" spans="1:3" ht="15">
      <c r="A7" s="183" t="s">
        <v>112</v>
      </c>
      <c r="B7" s="161" t="s">
        <v>113</v>
      </c>
      <c r="C7" t="s">
        <v>111</v>
      </c>
    </row>
    <row r="8" spans="1:4" ht="15">
      <c r="A8" s="183" t="s">
        <v>114</v>
      </c>
      <c r="B8" s="161" t="s">
        <v>115</v>
      </c>
      <c r="C8" t="s">
        <v>111</v>
      </c>
      <c r="D8" t="s">
        <v>161</v>
      </c>
    </row>
    <row r="9" spans="1:3" ht="15">
      <c r="A9" s="183" t="s">
        <v>117</v>
      </c>
      <c r="B9" s="161" t="s">
        <v>116</v>
      </c>
      <c r="C9" t="s">
        <v>111</v>
      </c>
    </row>
    <row r="10" spans="1:3" ht="15">
      <c r="A10" s="183" t="s">
        <v>118</v>
      </c>
      <c r="B10" s="161" t="s">
        <v>119</v>
      </c>
      <c r="C10" t="s">
        <v>146</v>
      </c>
    </row>
    <row r="11" spans="1:3" ht="15">
      <c r="A11" s="183" t="s">
        <v>121</v>
      </c>
      <c r="B11" s="161" t="s">
        <v>122</v>
      </c>
      <c r="C11" t="s">
        <v>111</v>
      </c>
    </row>
    <row r="12" spans="1:4" ht="15">
      <c r="A12" s="183" t="s">
        <v>123</v>
      </c>
      <c r="B12" s="161" t="s">
        <v>124</v>
      </c>
      <c r="C12" t="s">
        <v>111</v>
      </c>
      <c r="D12" t="s">
        <v>161</v>
      </c>
    </row>
    <row r="13" spans="1:3" ht="15">
      <c r="A13" s="183" t="s">
        <v>125</v>
      </c>
      <c r="B13" s="161" t="s">
        <v>126</v>
      </c>
      <c r="C13" t="s">
        <v>111</v>
      </c>
    </row>
    <row r="14" spans="1:3" ht="15">
      <c r="A14" s="184" t="s">
        <v>127</v>
      </c>
      <c r="B14" s="161" t="s">
        <v>128</v>
      </c>
      <c r="C14" t="s">
        <v>111</v>
      </c>
    </row>
    <row r="15" spans="1:3" ht="15">
      <c r="A15" s="184" t="s">
        <v>129</v>
      </c>
      <c r="B15" s="161" t="s">
        <v>130</v>
      </c>
      <c r="C15" t="s">
        <v>131</v>
      </c>
    </row>
    <row r="16" spans="1:3" ht="15">
      <c r="A16" s="184" t="s">
        <v>132</v>
      </c>
      <c r="B16" s="161" t="s">
        <v>133</v>
      </c>
      <c r="C16" t="s">
        <v>131</v>
      </c>
    </row>
    <row r="17" spans="1:4" ht="15">
      <c r="A17" s="184" t="s">
        <v>134</v>
      </c>
      <c r="B17" s="161" t="s">
        <v>135</v>
      </c>
      <c r="C17" t="s">
        <v>120</v>
      </c>
      <c r="D17" t="s">
        <v>161</v>
      </c>
    </row>
    <row r="18" spans="1:4" ht="15">
      <c r="A18" s="184" t="s">
        <v>136</v>
      </c>
      <c r="B18" s="161" t="s">
        <v>137</v>
      </c>
      <c r="C18" t="s">
        <v>131</v>
      </c>
      <c r="D18" t="s">
        <v>161</v>
      </c>
    </row>
    <row r="19" spans="1:4" ht="15">
      <c r="A19" s="184" t="s">
        <v>138</v>
      </c>
      <c r="B19" s="161" t="s">
        <v>152</v>
      </c>
      <c r="C19" t="s">
        <v>120</v>
      </c>
      <c r="D19" t="s">
        <v>161</v>
      </c>
    </row>
    <row r="20" spans="1:3" ht="15">
      <c r="A20" s="184" t="s">
        <v>139</v>
      </c>
      <c r="B20" s="161" t="s">
        <v>140</v>
      </c>
      <c r="C20" t="s">
        <v>120</v>
      </c>
    </row>
    <row r="21" spans="1:4" ht="15">
      <c r="A21" s="184" t="s">
        <v>141</v>
      </c>
      <c r="B21" s="161" t="s">
        <v>137</v>
      </c>
      <c r="C21" t="s">
        <v>120</v>
      </c>
      <c r="D21" t="s">
        <v>161</v>
      </c>
    </row>
    <row r="22" spans="1:4" ht="15">
      <c r="A22" s="184" t="s">
        <v>142</v>
      </c>
      <c r="B22" s="161" t="s">
        <v>140</v>
      </c>
      <c r="C22" t="s">
        <v>131</v>
      </c>
      <c r="D22" t="s">
        <v>161</v>
      </c>
    </row>
    <row r="25" ht="15">
      <c r="A25" s="161" t="s">
        <v>143</v>
      </c>
    </row>
    <row r="26" ht="15">
      <c r="A26" s="161" t="s">
        <v>159</v>
      </c>
    </row>
    <row r="27" spans="1:5" ht="90" customHeight="1">
      <c r="A27" s="247" t="s">
        <v>108</v>
      </c>
      <c r="B27" s="247"/>
      <c r="C27" s="247"/>
      <c r="D27" s="247"/>
      <c r="E27" s="247"/>
    </row>
    <row r="28" spans="1:2" ht="15">
      <c r="A28" s="186" t="s">
        <v>162</v>
      </c>
      <c r="B28" s="186"/>
    </row>
    <row r="29" spans="1:2" ht="15">
      <c r="A29" s="185" t="s">
        <v>163</v>
      </c>
      <c r="B29" s="185"/>
    </row>
  </sheetData>
  <mergeCells count="1">
    <mergeCell ref="A27:E2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"/>
  <sheetViews>
    <sheetView workbookViewId="0" topLeftCell="A1">
      <selection activeCell="E5" sqref="E5"/>
    </sheetView>
  </sheetViews>
  <sheetFormatPr defaultColWidth="16.57421875" defaultRowHeight="71.25" customHeight="1"/>
  <sheetData>
    <row r="1" spans="1:14" ht="71.25" customHeight="1" thickBot="1" thickTop="1">
      <c r="A1" s="250" t="s">
        <v>193</v>
      </c>
      <c r="B1" s="251"/>
      <c r="C1" s="251"/>
      <c r="D1" s="251"/>
      <c r="E1" s="251"/>
      <c r="F1" s="251"/>
      <c r="G1" s="251"/>
      <c r="H1" s="251"/>
      <c r="I1" s="252"/>
      <c r="J1" s="252"/>
      <c r="K1" s="252"/>
      <c r="L1" s="252"/>
      <c r="M1" s="252"/>
      <c r="N1" s="252"/>
    </row>
    <row r="2" spans="1:14" ht="71.25" customHeight="1" thickBot="1" thickTop="1">
      <c r="A2" s="193" t="s">
        <v>194</v>
      </c>
      <c r="B2" s="194" t="s">
        <v>195</v>
      </c>
      <c r="C2" s="195" t="s">
        <v>196</v>
      </c>
      <c r="D2" s="196" t="s">
        <v>197</v>
      </c>
      <c r="E2" s="195" t="s">
        <v>102</v>
      </c>
      <c r="F2" s="195" t="s">
        <v>198</v>
      </c>
      <c r="G2" s="195" t="s">
        <v>199</v>
      </c>
      <c r="H2" s="197" t="s">
        <v>200</v>
      </c>
      <c r="I2" s="253" t="s">
        <v>201</v>
      </c>
      <c r="J2" s="253"/>
      <c r="K2" s="253"/>
      <c r="L2" s="253"/>
      <c r="M2" s="253"/>
      <c r="N2" s="253"/>
    </row>
    <row r="3" spans="1:14" ht="71.25" customHeight="1" thickBot="1" thickTop="1">
      <c r="A3" s="198" t="s">
        <v>185</v>
      </c>
      <c r="B3" s="199">
        <v>24</v>
      </c>
      <c r="C3" s="200" t="s">
        <v>202</v>
      </c>
      <c r="D3" s="201">
        <f>E3*30.98%</f>
        <v>15490.000000000002</v>
      </c>
      <c r="E3" s="202">
        <v>50000</v>
      </c>
      <c r="F3" s="203">
        <f>SUM(D3:E3)</f>
        <v>65490</v>
      </c>
      <c r="G3" s="204">
        <f>0.04*(D3+E3)*24</f>
        <v>62870.399999999994</v>
      </c>
      <c r="H3" s="205">
        <f>F3-G3</f>
        <v>2619.600000000006</v>
      </c>
      <c r="I3" s="254" t="s">
        <v>203</v>
      </c>
      <c r="J3" s="254"/>
      <c r="K3" s="254"/>
      <c r="L3" s="254"/>
      <c r="M3" s="254"/>
      <c r="N3" s="254"/>
    </row>
    <row r="4" spans="1:14" ht="71.25" customHeight="1" thickBot="1" thickTop="1">
      <c r="A4" s="198" t="s">
        <v>185</v>
      </c>
      <c r="B4" s="199">
        <v>24</v>
      </c>
      <c r="C4" s="200" t="s">
        <v>202</v>
      </c>
      <c r="D4" s="201">
        <f>E4*30.98%</f>
        <v>15490.000000000002</v>
      </c>
      <c r="E4" s="202">
        <v>50000</v>
      </c>
      <c r="F4" s="203">
        <f>SUM(D4:E4)</f>
        <v>65490</v>
      </c>
      <c r="G4" s="204">
        <f>0.04*(D4+E4)*24</f>
        <v>62870.399999999994</v>
      </c>
      <c r="H4" s="205">
        <f>F4-G4</f>
        <v>2619.600000000006</v>
      </c>
      <c r="I4" s="254" t="s">
        <v>204</v>
      </c>
      <c r="J4" s="254"/>
      <c r="K4" s="254"/>
      <c r="L4" s="254"/>
      <c r="M4" s="254"/>
      <c r="N4" s="254"/>
    </row>
    <row r="5" spans="1:14" ht="71.25" customHeight="1" thickBot="1" thickTop="1">
      <c r="A5" s="198" t="s">
        <v>205</v>
      </c>
      <c r="B5" s="199">
        <v>18</v>
      </c>
      <c r="C5" s="200" t="s">
        <v>206</v>
      </c>
      <c r="D5" s="201">
        <f>E5*30.98%</f>
        <v>9294</v>
      </c>
      <c r="E5" s="202">
        <f>5000*(B5/3)</f>
        <v>30000</v>
      </c>
      <c r="F5" s="203">
        <f>D5+E5</f>
        <v>39294</v>
      </c>
      <c r="G5" s="206">
        <f>F5</f>
        <v>39294</v>
      </c>
      <c r="H5" s="207">
        <v>0</v>
      </c>
      <c r="I5" s="255" t="s">
        <v>207</v>
      </c>
      <c r="J5" s="255"/>
      <c r="K5" s="255"/>
      <c r="L5" s="255"/>
      <c r="M5" s="255"/>
      <c r="N5" s="255"/>
    </row>
    <row r="6" spans="1:14" ht="71.25" customHeight="1" thickBot="1" thickTop="1">
      <c r="A6" s="198" t="s">
        <v>208</v>
      </c>
      <c r="B6" s="199">
        <v>18</v>
      </c>
      <c r="C6" s="200" t="s">
        <v>202</v>
      </c>
      <c r="D6" s="201">
        <f>E6*30.98%</f>
        <v>9294</v>
      </c>
      <c r="E6" s="202">
        <f>5000*(B6/3)</f>
        <v>30000</v>
      </c>
      <c r="F6" s="203">
        <f>D6+E6</f>
        <v>39294</v>
      </c>
      <c r="G6" s="206">
        <f>F6</f>
        <v>39294</v>
      </c>
      <c r="H6" s="208">
        <v>0</v>
      </c>
      <c r="I6" s="248" t="s">
        <v>209</v>
      </c>
      <c r="J6" s="248"/>
      <c r="K6" s="248"/>
      <c r="L6" s="248"/>
      <c r="M6" s="248"/>
      <c r="N6" s="248"/>
    </row>
    <row r="7" spans="1:14" ht="9.75" customHeight="1" thickBot="1" thickTop="1">
      <c r="A7" s="198"/>
      <c r="B7" s="209"/>
      <c r="C7" s="200"/>
      <c r="D7" s="210"/>
      <c r="E7" s="202"/>
      <c r="F7" s="203"/>
      <c r="G7" s="202"/>
      <c r="H7" s="211"/>
      <c r="I7" s="248"/>
      <c r="J7" s="248"/>
      <c r="K7" s="248"/>
      <c r="L7" s="248"/>
      <c r="M7" s="248"/>
      <c r="N7" s="248"/>
    </row>
    <row r="8" spans="1:14" ht="71.25" customHeight="1" thickBot="1" thickTop="1">
      <c r="A8" s="212" t="s">
        <v>210</v>
      </c>
      <c r="B8" s="213"/>
      <c r="C8" s="214"/>
      <c r="D8" s="215">
        <f>SUM(D3:D6)</f>
        <v>49568</v>
      </c>
      <c r="E8" s="215">
        <f aca="true" t="shared" si="0" ref="E8:H8">SUM(E3:E6)</f>
        <v>160000</v>
      </c>
      <c r="F8" s="215">
        <f t="shared" si="0"/>
        <v>209568</v>
      </c>
      <c r="G8" s="215">
        <f t="shared" si="0"/>
        <v>204328.8</v>
      </c>
      <c r="H8" s="216">
        <f t="shared" si="0"/>
        <v>5239.200000000012</v>
      </c>
      <c r="I8" s="249" t="s">
        <v>211</v>
      </c>
      <c r="J8" s="249"/>
      <c r="K8" s="249"/>
      <c r="L8" s="249"/>
      <c r="M8" s="249"/>
      <c r="N8" s="249"/>
    </row>
  </sheetData>
  <mergeCells count="9">
    <mergeCell ref="I6:N6"/>
    <mergeCell ref="I7:N7"/>
    <mergeCell ref="I8:N8"/>
    <mergeCell ref="A1:H1"/>
    <mergeCell ref="I1:N1"/>
    <mergeCell ref="I2:N2"/>
    <mergeCell ref="I3:N3"/>
    <mergeCell ref="I4:N4"/>
    <mergeCell ref="I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K. Loftin</dc:creator>
  <cp:keywords/>
  <dc:description/>
  <cp:lastModifiedBy>Alice S. Griffin</cp:lastModifiedBy>
  <cp:lastPrinted>2017-09-05T17:33:53Z</cp:lastPrinted>
  <dcterms:created xsi:type="dcterms:W3CDTF">2017-02-24T16:00:40Z</dcterms:created>
  <dcterms:modified xsi:type="dcterms:W3CDTF">2017-11-02T21:07:00Z</dcterms:modified>
  <cp:category/>
  <cp:version/>
  <cp:contentType/>
  <cp:contentStatus/>
</cp:coreProperties>
</file>